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Scenario 1" sheetId="1" r:id="rId1"/>
    <sheet name="Scenario 2" sheetId="2" r:id="rId2"/>
    <sheet name="Scenario 3" sheetId="3" r:id="rId3"/>
    <sheet name="Résume 1" sheetId="4" r:id="rId4"/>
    <sheet name="Résume 2" sheetId="5" r:id="rId5"/>
    <sheet name="Résume 3" sheetId="6" r:id="rId6"/>
    <sheet name="Hypothesis" sheetId="7" r:id="rId7"/>
    <sheet name="breakdown" sheetId="8" r:id="rId8"/>
  </sheets>
  <definedNames>
    <definedName name="_ftn1" localSheetId="7">'breakdown'!$B$12</definedName>
    <definedName name="_ftn1" localSheetId="0">'Scenario 1'!$B$13</definedName>
    <definedName name="_ftn2" localSheetId="7">'breakdown'!$B$13</definedName>
    <definedName name="_ftn2" localSheetId="0">'Scenario 1'!$B$14</definedName>
    <definedName name="_ftnref3" localSheetId="7">'breakdown'!$B$8</definedName>
    <definedName name="_ftnref3" localSheetId="3">'Résume 1'!$A$8</definedName>
    <definedName name="_ftnref3" localSheetId="4">'Résume 2'!$A$8</definedName>
    <definedName name="_ftnref3" localSheetId="5">'Résume 3'!$A$8</definedName>
    <definedName name="_ftnref3" localSheetId="0">'Scenario 1'!$B$8</definedName>
    <definedName name="_ftnref3" localSheetId="1">'Scenario 2'!$B$8</definedName>
    <definedName name="_ftnref3" localSheetId="2">'Scenario 3'!$B$8</definedName>
    <definedName name="_xlnm.Print_Area" localSheetId="7">'breakdown'!$A$1:$N$39</definedName>
    <definedName name="_xlnm.Print_Area" localSheetId="6">'Hypothesis'!$A$18:$I$53</definedName>
    <definedName name="_xlnm.Print_Area" localSheetId="3">'Résume 1'!$A$2:$L$40</definedName>
    <definedName name="_xlnm.Print_Area" localSheetId="4">'Résume 2'!$A$2:$L$40</definedName>
    <definedName name="_xlnm.Print_Area" localSheetId="5">'Résume 3'!$A$2:$L$40</definedName>
    <definedName name="_xlnm.Print_Area" localSheetId="0">'Scenario 1'!$A$1:$N$41</definedName>
    <definedName name="_xlnm.Print_Area" localSheetId="1">'Scenario 2'!$A$1:$N$41</definedName>
    <definedName name="_xlnm.Print_Area" localSheetId="2">'Scenario 3'!$A$1:$N$41</definedName>
    <definedName name="_xlnm.Print_Titles" localSheetId="7">'breakdown'!$2:$4</definedName>
    <definedName name="_xlnm.Print_Titles" localSheetId="3">'Résume 1'!$2:$4</definedName>
    <definedName name="_xlnm.Print_Titles" localSheetId="4">'Résume 2'!$2:$4</definedName>
    <definedName name="_xlnm.Print_Titles" localSheetId="5">'Résume 3'!$2:$4</definedName>
    <definedName name="_xlnm.Print_Titles" localSheetId="0">'Scenario 1'!$2:$4</definedName>
    <definedName name="_xlnm.Print_Titles" localSheetId="1">'Scenario 2'!$2:$4</definedName>
    <definedName name="_xlnm.Print_Titles" localSheetId="2">'Scenario 3'!$2:$4</definedName>
  </definedNames>
  <calcPr fullCalcOnLoad="1"/>
</workbook>
</file>

<file path=xl/sharedStrings.xml><?xml version="1.0" encoding="utf-8"?>
<sst xmlns="http://schemas.openxmlformats.org/spreadsheetml/2006/main" count="577" uniqueCount="161">
  <si>
    <t>Nmbre d'unités</t>
  </si>
  <si>
    <t>Coût par l'unité</t>
  </si>
  <si>
    <t>Somme</t>
  </si>
  <si>
    <t>GRAND TOTAL</t>
  </si>
  <si>
    <t>I.1</t>
  </si>
  <si>
    <t>I.2</t>
  </si>
  <si>
    <t>I.3</t>
  </si>
  <si>
    <t>I.4</t>
  </si>
  <si>
    <t>I.5</t>
  </si>
  <si>
    <t>I.6</t>
  </si>
  <si>
    <t>I.7</t>
  </si>
  <si>
    <t>I.8</t>
  </si>
  <si>
    <t>I.9</t>
  </si>
  <si>
    <t>I.10</t>
  </si>
  <si>
    <t>I.11</t>
  </si>
  <si>
    <t>II.1</t>
  </si>
  <si>
    <t>II.2</t>
  </si>
  <si>
    <t>II.3</t>
  </si>
  <si>
    <t>II.4</t>
  </si>
  <si>
    <t>II.5</t>
  </si>
  <si>
    <t>II.6</t>
  </si>
  <si>
    <t>II.7</t>
  </si>
  <si>
    <t>II.8</t>
  </si>
  <si>
    <t>II.9</t>
  </si>
  <si>
    <t>Coûts variables</t>
  </si>
  <si>
    <t xml:space="preserve">Etude de positionnement stratégique des filières/produits prioritaires et porteurs (exemple : fruits et légumes, cuirs et peaux, industries de transformation, coton et textile, aviculture, pêche en eaux fluviales…) en prenant en compte les particularités des bassins ou des sous régions qui peuvent correspondre à des spécialisations. </t>
  </si>
  <si>
    <t>Diagnostics et appui à la restructuration élaborés pour des entreprises sélectionnées</t>
  </si>
  <si>
    <t>Diagnostic et formulation de programmes de mise à niveau pour des entreprises sélectionnées (approche globale et approche spécifique).</t>
  </si>
  <si>
    <t>Renforcement des capacités institutionnelles des Ministères chargés de l’industrie et du commerce (points focaux mise à niveau), bureau de la mise à niveau, des PME, du patronat, des associations professionnelles, des banques, et des experts/consultants et formateurs pour l’élaboration et le suivi de programmes de restructuration et de mise à niveau.</t>
  </si>
  <si>
    <t>Formulation d’un programme de restructuration et de mise à niveau prenant en considération les spécificités et capacités pour chaque pays.</t>
  </si>
  <si>
    <t>Conception et assistance à la mise en place du cadre réglementaire et des procédures du programme régional de Restructuration et de Mise à Niveau au niveau régional et national.</t>
  </si>
  <si>
    <t>Formulation et mise en œuvre d’un programme de communication et de promotion des programmes régional et nationaux de restructuration et de mise à niveau (développement de matériel de promotion, page web (secrétariats et pays), organisation « Tour CEDEAO/UEMOA Mise à Niveau » pour la sensibilisation et l’information des chefs d’entreprises sur le programme au niveau régional et national.</t>
  </si>
  <si>
    <t>Etude de faisabilité et assistance à la mise en place des mécanismes de financement de restructuration et de mise à niveau au niveau national.</t>
  </si>
  <si>
    <t>Appui technique et coaching aux PME pour la mise en œuvre des actions de mise à niveau dans les entreprises sélectionnées (actions immatérielles prioritaires de mise à niveau).</t>
  </si>
  <si>
    <t xml:space="preserve">Etude et mise en place d’un tableau de bord de la restructuration et de la mise à niveau au niveau de l’Afrique de l’Ouest et pour chaque pays. </t>
  </si>
  <si>
    <t xml:space="preserve">Renforcement de la capacité et mise à niveau des entreprises et des associations du secteur informel productif et services connexes (entreprenariat, tenue de comptabilité, finance et gestion, techniques de marketing, gestion de production) a travers des actions spécifiques regroupées. </t>
  </si>
  <si>
    <t xml:space="preserve">Organisation de séminaires d’information et de dissémination sur les résultats des études pour les différents produits. </t>
  </si>
  <si>
    <t>Diagnostic, formulation et mise en œuvre de plan de mise à niveau de structures techniques d’appui aux secteurs prioritaires et porteurs retenus (centres techniques sectoriels, instituts de recherche et développement, centres de promotion des exportations, laboratoires d’analyses et d’essai, instituts de formation professionnelle spécialisés, capacités en expertise technique nationale, réseaux et systèmes d’information). Renforcement de leurs capacités d’intervention et de leur vocation régionale. Un accent particulier sera mis à l'appui aux instituts de formation professionnelle spécialisés.</t>
  </si>
  <si>
    <t>Mise en place de la démarche HACCP et de la certification ISO 22000 pour des entreprises sélectionnées.</t>
  </si>
  <si>
    <t>Assistance à la mise en œuvre de programmes de traçabilité à titre pilote pour des produits spécifiques et prioritaires ayant un potentiel d’exportation (viandes, pêche, fruits et légumes, fleurs, noix de cajou, café, cacao…).</t>
  </si>
  <si>
    <t>Mise en place de système de gestion de la qualité et de la certification ISO 9001 pour des entreprises sélectionnées.</t>
  </si>
  <si>
    <t>Mise en réseau des organisations intermédiaires CEDEAO et Europe et renforcement des organisations professionnelles.</t>
  </si>
  <si>
    <t>Promotion des projets de partenariat industriel /compagnonnage parmi les entreprises éligibles au programme. Accompagnement de la mission de partenariat, appui aux négociations et (business plan et recherche de financements) / accompagnement stratégique.</t>
  </si>
  <si>
    <t>Promotion, création et assistance à la mise en place de consortia d'exportation. Formulation des mesures de support et d’un cadre juridique favorable pour les consortiaux d’exportation.</t>
  </si>
  <si>
    <t xml:space="preserve">Appui et accompagnement à l'investissement pour la découverte de nouveaux produits en Afrique de l'Ouest. Appui à la diversification. </t>
  </si>
  <si>
    <t xml:space="preserve">Formation technique et professionnelle. </t>
  </si>
  <si>
    <t>Launch of the HACCP and certification ISO 22000 for selected companies.</t>
  </si>
  <si>
    <t>Implementation of Quality Management Systems and certification of ISO 9001 QMS at beneficiary companies.</t>
  </si>
  <si>
    <t>Networking of intermediary organizations from SADC region and EU and strengthening professional organizations.</t>
  </si>
  <si>
    <t xml:space="preserve">Strengthening and upgrading of the technical and professional training institutions. </t>
  </si>
  <si>
    <t>Fixed Costs</t>
  </si>
  <si>
    <t>Description</t>
  </si>
  <si>
    <t>Programme Outputs</t>
  </si>
  <si>
    <t>Variable Costs</t>
  </si>
  <si>
    <t># of units</t>
  </si>
  <si>
    <t xml:space="preserve">Cost per unit </t>
  </si>
  <si>
    <t>Total</t>
  </si>
  <si>
    <t>Total in Euro</t>
  </si>
  <si>
    <t># of output</t>
  </si>
  <si>
    <t>COMPONENT I :  SUPPORT TO UPGRADING AND IMPROVING COMPETITIVENESS OF INDUSTRIES</t>
  </si>
  <si>
    <t xml:space="preserve">COMPONENT II :  ESTABLISHMENT/UPGRADING OF THE TECHNICAL SUPPORT INSTITUTIONS </t>
  </si>
  <si>
    <t>Technical Expertise</t>
  </si>
  <si>
    <t>Monitoring and Follow-up</t>
  </si>
  <si>
    <t>COSTS OF MANAGEMENT, COORDINATION AND FOLLOW-UP OF THE PROGRAMME</t>
  </si>
  <si>
    <t>ESTIMATED COSTS</t>
  </si>
  <si>
    <t>TOTAL IN EURO</t>
  </si>
  <si>
    <t>SUBTOTAL COMPONENT I</t>
  </si>
  <si>
    <t>SUBTOTAL COMPONENT II</t>
  </si>
  <si>
    <t xml:space="preserve">COSTS OF MANAGEMENT, COORDINATION AND FOLLOW-UP OF THE PROGRAMME </t>
  </si>
  <si>
    <t>Upgrading Office</t>
  </si>
  <si>
    <t>Subtotal      Phase 1</t>
  </si>
  <si>
    <t>Variable            Costs</t>
  </si>
  <si>
    <t>Fixed                 Costs</t>
  </si>
  <si>
    <t>Technical Unit for Coordination</t>
  </si>
  <si>
    <t>Costs of international and national experts, secretariat operations and regular missions  to SADC countries</t>
  </si>
  <si>
    <t>Contribution to operational costs</t>
  </si>
  <si>
    <t>Costs of experts recruited to support implementing agency</t>
  </si>
  <si>
    <t xml:space="preserve">Experts' remuneration, travel and DSA costs </t>
  </si>
  <si>
    <t>Costs of national and international expertise (experts' remuneration and DSA) and charges for organization of information and awareness raising activities, purchase of equipment</t>
  </si>
  <si>
    <t>Costs included in the outputs I.2 and I.3 (€10000 per company)</t>
  </si>
  <si>
    <t>Costs of national and international expertise (experts' remuneration, travel and DSA) and charges for organization of information and awareness raising activities and training missions</t>
  </si>
  <si>
    <t>Costs included in the outputs I.2 and I.3 (€7000 per company)</t>
  </si>
  <si>
    <t>Support to and industrial coaching of investments for developing new products in Southern Africa and promoting industrial diversification.</t>
  </si>
  <si>
    <t>Costs of national and international expertise (experts' remuneration, travel and DSA) and charges for organization of information and awareness raising activities and training missions, purchase of equipment</t>
  </si>
  <si>
    <t>Costs of national and international expertise (experts' remuneration, travel and DSA and purchase of computers and manuals for trainings) and charges for organization of information and awareness raising activities and training missions, purchase of equipment</t>
  </si>
  <si>
    <t xml:space="preserve">Costs of national and international expertise (experts' remuneration, travel and DSA) </t>
  </si>
  <si>
    <t xml:space="preserve">Costs of national and international expertise (experts' remuneration, travel and DSA, grants for equipment purchase) </t>
  </si>
  <si>
    <t>Costs included in outputs I.2 and I.3 (experts costs of 40 m/h per company)</t>
  </si>
  <si>
    <t>Costs of national and international expertise (experts' remuneration and DSA) and charges for organization of information, awareness raising and training activities</t>
  </si>
  <si>
    <t>Costs of national and international expertise (experts' remuneration and DSA) and charges for organization of information and awareness raising activities</t>
  </si>
  <si>
    <t>Subtotal    Phase 2</t>
  </si>
  <si>
    <t>Subtotal    Phase 1</t>
  </si>
  <si>
    <t>SUBTOTAL FOR COMPONENT I</t>
  </si>
  <si>
    <t>SUBTOTAL FOR COMPONENT II</t>
  </si>
  <si>
    <t>SUBTOTAL III</t>
  </si>
  <si>
    <t>PHASE 1:</t>
  </si>
  <si>
    <t>PHASE 2:</t>
  </si>
  <si>
    <t>Promotion of projects on industrial partnership/industrial coaching among the companies eligible to the Programme. Providing support to negotiating process (business-plan and fund-raising)/strategic coaching.</t>
  </si>
  <si>
    <t>PHASE 1: (3 years)</t>
  </si>
  <si>
    <t>PHASE 2: (3 years)</t>
  </si>
  <si>
    <t>Costs of national and international expertise (experts' remuneration, travel and DSA, , equipment cost) and charges for seminar organization</t>
  </si>
  <si>
    <t>II.10</t>
  </si>
  <si>
    <t>“Low” hypothesis</t>
  </si>
  <si>
    <t>“Middle” hypothesis</t>
  </si>
  <si>
    <t>“High” hypothesis</t>
  </si>
  <si>
    <t>Formal sector companies:</t>
  </si>
  <si>
    <t>- Restructuring</t>
  </si>
  <si>
    <t>- Overall upgrading</t>
  </si>
  <si>
    <t xml:space="preserve">- Specific upgrading </t>
  </si>
  <si>
    <t xml:space="preserve">Informal sector companies </t>
  </si>
  <si>
    <t>Total for companies</t>
  </si>
  <si>
    <t>Technical support institutions</t>
  </si>
  <si>
    <t>Fixed   Costs</t>
  </si>
  <si>
    <t>Strategic positioning study of 20 priority and contributing products/sectors (e.g.: agro-food, processing of metallic, non-metallic and chemical products, pharmaceuticals, leather and hides, cotton and textile, poultry farming, fishery, etc.) taking into account national specificities and capacities determining industrial specialization.</t>
  </si>
  <si>
    <t>Thorough diagnosis and restructuring plans for beneficiary companies.</t>
  </si>
  <si>
    <t>Technical support and coaching of SMEs for the implementation of the upgrading activities in the beneficiary companies (priority to immaterial investments activities).</t>
  </si>
  <si>
    <t>Capacity building for the ministries in charge of industry, upgrading centres, SME, employer associations, banks, experts/consultants and trainers for the implementation and follow-up of the Programme.</t>
  </si>
  <si>
    <t>Formulate national Industrial Upgrading and Modernization Programme for each Member State.</t>
  </si>
  <si>
    <t>Design and provide assistance for the establishment of a legislative framework and procedures for the regional Industrial Upgrading and Modernization Programme at regional and national levels.</t>
  </si>
  <si>
    <t>Design and implementation of the regional and national programmes of communication and promotion of the Programme (development of promotional materials and thematic website for the SADC Secretariat and each country) and undertaking of “SADC Upgrading Tour” for the managers of industries at the regional and national levels and organization of information and dissemination seminars on Programme’s results for the different production.</t>
  </si>
  <si>
    <t xml:space="preserve">Feasibility study and establishment of financing schemes to facilitate access of local SMEs to funding necessary to implement upgrading and modernization activities and to fulfill their investment plans. </t>
  </si>
  <si>
    <t>Setting-up of a Monitoring Framework for Industrial Upgrading and Modernization Programme at national and regional levels.</t>
  </si>
  <si>
    <t>Strengthening of capacity of enterprises, associations and related services in the informal sector (entrepreneurship, bookkeeping, financing, management, marketing, production management, etc.).</t>
  </si>
  <si>
    <t>Thorough diagnostics, formulation and implementation of the upgrading plans for technical centres promoting priority and key export sectors (sectoral technical centres, research institutions, export promotion agencies, test and analysis laboratories, specialized institutions for vocational training, national technical expertise, networks and information systems).</t>
  </si>
  <si>
    <t>Assist with the implementation of programmes of traceability for specific and priority products having high potential for export (meats, fish, fruits and vegetables, flowers, cashew nut, coffee, cocoa…).</t>
  </si>
  <si>
    <t>Promotion, creation and assistance for the establishment of export consortia. Formulation of support measures and a favourable legal framework for the export consortia (at regional and national levels).</t>
  </si>
  <si>
    <t>Strengthening capacities of investment promotion agencies and establishment of an investment platform in order to respond to the needs of investors and operators in the area of upgrading and modernization.</t>
  </si>
  <si>
    <t xml:space="preserve">Establishment of Subcontracting Exchanges and “aftercare” services. </t>
  </si>
  <si>
    <t>II.11</t>
  </si>
  <si>
    <t>Strengthening of capacity of enterprises, associations and related services in the informal sector.</t>
  </si>
  <si>
    <t>Costs of national and international expertise and charges for seminar organization</t>
  </si>
  <si>
    <t xml:space="preserve">Costs of national and international expertise </t>
  </si>
  <si>
    <t>Assist with the implementation of programmes of traceability for specific and priority products having high potential for export.</t>
  </si>
  <si>
    <r>
      <t>Thorough diagnosis an</t>
    </r>
    <r>
      <rPr>
        <sz val="10"/>
        <color indexed="8"/>
        <rFont val="Arial Narrow"/>
        <family val="2"/>
      </rPr>
      <t>d upgrading plans for the companies eligible to the Programme.</t>
    </r>
  </si>
  <si>
    <t>Costs of national and international expertise and charges for organization of information and awareness raising activities</t>
  </si>
  <si>
    <t>Strategic positioning study of 20 priority and contributing products/sectors.</t>
  </si>
  <si>
    <t>Technical support and coaching of SMEs for the implementation of the upgrading activities.</t>
  </si>
  <si>
    <t>Assistance in establishment of a legislative framework and procedures for the Programme impelementation.</t>
  </si>
  <si>
    <t>Communication and promotion of the Programme and undertaking of “SADC Upgrading Tour” and organization of dissemination seminars on Programme’s results.</t>
  </si>
  <si>
    <t>Promotion of projects on industrial partnership/coaching and providing support to negotiating process/strategic coaching.</t>
  </si>
  <si>
    <t xml:space="preserve">Establishment of financing schemes to facilitate access of local SMEs to funding upgrading and moderniz. activities. </t>
  </si>
  <si>
    <t>Setting-up of a Monitoring Framework for IU&amp;M Programme at national and regional levels.</t>
  </si>
  <si>
    <t>National/international expertise, information and training activities, purchase of equipment</t>
  </si>
  <si>
    <t>Diagnostics, formulation and implementation of the upgrading plans for technical centres promoting priority and key export sectors.</t>
  </si>
  <si>
    <t>Capacity building for the ministries, upgrading centres, SME, employer associations, banks, experts/consultants and trainers on Programme implementation and follow-up.</t>
  </si>
  <si>
    <t>National/international expertise, information and training activities</t>
  </si>
  <si>
    <t>Strengthening capacities of investment promotion agencies and establishment of an investment platform.</t>
  </si>
  <si>
    <t xml:space="preserve">Promotion, creation and assistance for the establishment of export consortia. </t>
  </si>
  <si>
    <t>I.12</t>
  </si>
  <si>
    <t>Thorough diagnosis and upgrading plans for the companies eligible to the Programme (global approach and specific approach)</t>
  </si>
  <si>
    <t>SADC 14</t>
  </si>
  <si>
    <t>SADC 15</t>
  </si>
  <si>
    <t>Phase I</t>
  </si>
  <si>
    <t>Phase II</t>
  </si>
  <si>
    <t>Low</t>
  </si>
  <si>
    <t>Middle</t>
  </si>
  <si>
    <t>High</t>
  </si>
  <si>
    <t>Scenario 1</t>
  </si>
  <si>
    <t>Scenario 2</t>
  </si>
  <si>
    <t>Scenario 3</t>
  </si>
  <si>
    <t>Diff.</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</si>
</sst>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40C]dddd\ d\ mmmm\ yyyy"/>
    <numFmt numFmtId="191" formatCode="00000"/>
    <numFmt numFmtId="192" formatCode="#,##0.00\ _€"/>
    <numFmt numFmtId="193" formatCode="&quot;Yes&quot;;&quot;Yes&quot;;&quot;No&quot;"/>
    <numFmt numFmtId="194" formatCode="&quot;True&quot;;&quot;True&quot;;&quot;False&quot;"/>
    <numFmt numFmtId="195" formatCode="&quot;On&quot;;&quot;On&quot;;&quot;Off&quot;"/>
    <numFmt numFmtId="196" formatCode="#,##0.000\ _€"/>
    <numFmt numFmtId="197" formatCode="#,##0.0000\ _€"/>
    <numFmt numFmtId="198" formatCode="#,##0.0\ _€"/>
    <numFmt numFmtId="199" formatCode="#,##0\ _€"/>
    <numFmt numFmtId="200" formatCode="[$Ђ-2]\ #,##0.00_);[Red]\([$Ђ-2]\ #,##0.00\)"/>
    <numFmt numFmtId="201" formatCode="[$€-2]\ #,##0.00_);[Red]\([$€-2]\ #,##0.00\)"/>
  </numFmts>
  <fonts count="44">
    <font>
      <sz val="11"/>
      <color indexed="8"/>
      <name val="Calibri"/>
      <family val="2"/>
    </font>
    <font>
      <b/>
      <sz val="10"/>
      <color indexed="8"/>
      <name val="Arial Narrow"/>
      <family val="2"/>
    </font>
    <font>
      <sz val="10"/>
      <color indexed="8"/>
      <name val="Arial Narrow"/>
      <family val="2"/>
    </font>
    <font>
      <b/>
      <sz val="11"/>
      <color indexed="8"/>
      <name val="Calibri"/>
      <family val="2"/>
    </font>
    <font>
      <b/>
      <sz val="9"/>
      <color indexed="8"/>
      <name val="Arial"/>
      <family val="2"/>
    </font>
    <font>
      <b/>
      <sz val="11"/>
      <color indexed="8"/>
      <name val="Arial Narrow"/>
      <family val="2"/>
    </font>
    <font>
      <b/>
      <sz val="11"/>
      <color indexed="9"/>
      <name val="Calibri"/>
      <family val="2"/>
    </font>
    <font>
      <b/>
      <sz val="11"/>
      <color indexed="8"/>
      <name val="Arial"/>
      <family val="2"/>
    </font>
    <font>
      <b/>
      <sz val="11"/>
      <color indexed="10"/>
      <name val="Arial"/>
      <family val="2"/>
    </font>
    <font>
      <b/>
      <sz val="12"/>
      <name val="Arial Narrow"/>
      <family val="2"/>
    </font>
    <font>
      <sz val="11"/>
      <color indexed="8"/>
      <name val="Arial Narrow"/>
      <family val="2"/>
    </font>
    <font>
      <b/>
      <sz val="11"/>
      <color indexed="9"/>
      <name val="Arial Narrow"/>
      <family val="2"/>
    </font>
    <font>
      <u val="single"/>
      <sz val="11"/>
      <color indexed="12"/>
      <name val="Calibri"/>
      <family val="2"/>
    </font>
    <font>
      <u val="single"/>
      <sz val="11"/>
      <color indexed="20"/>
      <name val="Calibri"/>
      <family val="2"/>
    </font>
    <font>
      <b/>
      <sz val="1"/>
      <color indexed="8"/>
      <name val="Arial"/>
      <family val="2"/>
    </font>
    <font>
      <sz val="12"/>
      <color indexed="8"/>
      <name val="Arial Narrow"/>
      <family val="2"/>
    </font>
    <font>
      <i/>
      <sz val="12"/>
      <color indexed="8"/>
      <name val="Arial Narrow"/>
      <family val="2"/>
    </font>
    <font>
      <b/>
      <sz val="12"/>
      <color indexed="8"/>
      <name val="Arial Narrow"/>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Calibri"/>
      <family val="2"/>
    </font>
    <font>
      <b/>
      <sz val="10"/>
      <color indexed="8"/>
      <name val="Arial"/>
      <family val="2"/>
    </font>
    <font>
      <b/>
      <sz val="10"/>
      <color indexed="9"/>
      <name val="Arial Narrow"/>
      <family val="2"/>
    </font>
    <font>
      <b/>
      <sz val="10"/>
      <color indexed="10"/>
      <name val="Arial"/>
      <family val="2"/>
    </font>
    <font>
      <b/>
      <sz val="10"/>
      <name val="Arial"/>
      <family val="2"/>
    </font>
    <font>
      <b/>
      <sz val="10"/>
      <color indexed="9"/>
      <name val="Calibri"/>
      <family val="2"/>
    </font>
    <font>
      <b/>
      <sz val="10"/>
      <color indexed="9"/>
      <name val="Arial"/>
      <family val="2"/>
    </font>
    <font>
      <sz val="10"/>
      <color indexed="8"/>
      <name val="Calibri"/>
      <family val="2"/>
    </font>
    <font>
      <sz val="10"/>
      <color indexed="9"/>
      <name val="Calibri"/>
      <family val="2"/>
    </font>
    <font>
      <sz val="10"/>
      <name val="Arial Narrow"/>
      <family val="2"/>
    </font>
    <font>
      <b/>
      <sz val="11"/>
      <name val="Calibri"/>
      <family val="2"/>
    </font>
    <font>
      <b/>
      <sz val="10"/>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56"/>
        <bgColor indexed="64"/>
      </patternFill>
    </fill>
    <fill>
      <patternFill patternType="solid">
        <fgColor indexed="63"/>
        <bgColor indexed="64"/>
      </patternFill>
    </fill>
    <fill>
      <patternFill patternType="solid">
        <fgColor indexed="23"/>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medium"/>
    </border>
    <border>
      <left style="medium"/>
      <right>
        <color indexed="63"/>
      </right>
      <top style="medium"/>
      <bottom style="medium"/>
    </border>
    <border>
      <left style="thin"/>
      <right style="thin"/>
      <top style="thin"/>
      <bottom style="thin"/>
    </border>
    <border>
      <left style="thin"/>
      <right style="medium"/>
      <top style="thin"/>
      <bottom style="thin"/>
    </border>
    <border>
      <left>
        <color indexed="63"/>
      </left>
      <right style="medium"/>
      <top style="medium"/>
      <bottom style="medium"/>
    </border>
    <border>
      <left style="thin"/>
      <right style="medium"/>
      <top style="medium"/>
      <bottom style="medium"/>
    </border>
    <border>
      <left style="medium"/>
      <right style="medium"/>
      <top style="medium"/>
      <bottom style="medium"/>
    </border>
    <border>
      <left style="thin"/>
      <right style="thin"/>
      <top>
        <color indexed="63"/>
      </top>
      <bottom style="thin"/>
    </border>
    <border>
      <left style="thin"/>
      <right style="medium"/>
      <top>
        <color indexed="63"/>
      </top>
      <bottom style="thin"/>
    </border>
    <border>
      <left style="medium">
        <color indexed="8"/>
      </left>
      <right style="medium">
        <color indexed="8"/>
      </right>
      <top style="medium"/>
      <bottom style="medium"/>
    </border>
    <border>
      <left style="medium"/>
      <right style="thin"/>
      <top style="thin"/>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color indexed="8"/>
      </right>
      <top style="medium"/>
      <bottom>
        <color indexed="63"/>
      </bottom>
    </border>
    <border>
      <left style="medium"/>
      <right style="medium">
        <color indexed="8"/>
      </right>
      <top>
        <color indexed="63"/>
      </top>
      <bottom style="medium"/>
    </border>
    <border>
      <left style="medium">
        <color indexed="8"/>
      </left>
      <right>
        <color indexed="63"/>
      </right>
      <top style="medium"/>
      <bottom style="medium"/>
    </border>
    <border>
      <left>
        <color indexed="63"/>
      </left>
      <right style="medium">
        <color indexed="8"/>
      </right>
      <top style="medium"/>
      <bottom style="medium"/>
    </border>
    <border>
      <left style="medium">
        <color indexed="8"/>
      </left>
      <right>
        <color indexed="63"/>
      </right>
      <top style="medium"/>
      <bottom>
        <color indexed="63"/>
      </bottom>
    </border>
    <border>
      <left style="medium">
        <color indexed="8"/>
      </left>
      <right>
        <color indexed="63"/>
      </right>
      <top>
        <color indexed="63"/>
      </top>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 fillId="0" borderId="9" applyNumberFormat="0" applyFill="0" applyAlignment="0" applyProtection="0"/>
    <xf numFmtId="0" fontId="31" fillId="0" borderId="0" applyNumberFormat="0" applyFill="0" applyBorder="0" applyAlignment="0" applyProtection="0"/>
  </cellStyleXfs>
  <cellXfs count="218">
    <xf numFmtId="0" fontId="0" fillId="0" borderId="0" xfId="0" applyAlignment="1">
      <alignment/>
    </xf>
    <xf numFmtId="0" fontId="0" fillId="0" borderId="0" xfId="0" applyBorder="1" applyAlignment="1">
      <alignment/>
    </xf>
    <xf numFmtId="0" fontId="0" fillId="0" borderId="0" xfId="0" applyNumberFormat="1" applyAlignment="1">
      <alignment/>
    </xf>
    <xf numFmtId="0" fontId="0" fillId="0" borderId="0" xfId="0" applyNumberFormat="1" applyBorder="1" applyAlignment="1">
      <alignment/>
    </xf>
    <xf numFmtId="0" fontId="0" fillId="0" borderId="10" xfId="0" applyBorder="1" applyAlignment="1">
      <alignment/>
    </xf>
    <xf numFmtId="0" fontId="3" fillId="0" borderId="11" xfId="0" applyFont="1" applyBorder="1" applyAlignment="1">
      <alignment/>
    </xf>
    <xf numFmtId="0" fontId="3" fillId="0" borderId="10" xfId="0" applyFont="1" applyBorder="1" applyAlignment="1">
      <alignment/>
    </xf>
    <xf numFmtId="0" fontId="0" fillId="0" borderId="0" xfId="0" applyFont="1" applyAlignment="1">
      <alignment/>
    </xf>
    <xf numFmtId="0" fontId="5" fillId="0" borderId="0" xfId="0" applyFont="1" applyAlignment="1">
      <alignment/>
    </xf>
    <xf numFmtId="192" fontId="2" fillId="0" borderId="12" xfId="0" applyNumberFormat="1" applyFont="1" applyBorder="1" applyAlignment="1">
      <alignment horizontal="right" vertical="top" wrapText="1"/>
    </xf>
    <xf numFmtId="0" fontId="2" fillId="0" borderId="12" xfId="0" applyNumberFormat="1" applyFont="1" applyBorder="1" applyAlignment="1">
      <alignment horizontal="right" vertical="top" wrapText="1"/>
    </xf>
    <xf numFmtId="192" fontId="1" fillId="6" borderId="12" xfId="0" applyNumberFormat="1" applyFont="1" applyFill="1" applyBorder="1" applyAlignment="1">
      <alignment horizontal="right" vertical="top" wrapText="1"/>
    </xf>
    <xf numFmtId="192" fontId="1" fillId="20" borderId="13" xfId="0" applyNumberFormat="1" applyFont="1" applyFill="1" applyBorder="1" applyAlignment="1">
      <alignment horizontal="right" vertical="top" wrapText="1"/>
    </xf>
    <xf numFmtId="0" fontId="1" fillId="21" borderId="11" xfId="0" applyFont="1" applyFill="1" applyBorder="1" applyAlignment="1">
      <alignment horizontal="left" wrapText="1"/>
    </xf>
    <xf numFmtId="192" fontId="1" fillId="21" borderId="14" xfId="0" applyNumberFormat="1" applyFont="1" applyFill="1" applyBorder="1" applyAlignment="1">
      <alignment horizontal="right" wrapText="1"/>
    </xf>
    <xf numFmtId="192" fontId="1" fillId="21" borderId="15" xfId="0" applyNumberFormat="1" applyFont="1" applyFill="1" applyBorder="1" applyAlignment="1">
      <alignment horizontal="right" wrapText="1"/>
    </xf>
    <xf numFmtId="192" fontId="1" fillId="21" borderId="16" xfId="0" applyNumberFormat="1" applyFont="1" applyFill="1" applyBorder="1" applyAlignment="1">
      <alignment horizontal="right" wrapText="1"/>
    </xf>
    <xf numFmtId="192" fontId="2" fillId="0" borderId="17" xfId="0" applyNumberFormat="1" applyFont="1" applyBorder="1" applyAlignment="1">
      <alignment horizontal="right" vertical="top" wrapText="1"/>
    </xf>
    <xf numFmtId="192" fontId="1" fillId="6" borderId="17" xfId="0" applyNumberFormat="1" applyFont="1" applyFill="1" applyBorder="1" applyAlignment="1">
      <alignment horizontal="right" vertical="top" wrapText="1"/>
    </xf>
    <xf numFmtId="192" fontId="1" fillId="20" borderId="18" xfId="0" applyNumberFormat="1" applyFont="1" applyFill="1" applyBorder="1" applyAlignment="1">
      <alignment horizontal="right" vertical="top" wrapText="1"/>
    </xf>
    <xf numFmtId="0" fontId="1" fillId="6" borderId="19" xfId="0" applyNumberFormat="1" applyFont="1" applyFill="1" applyBorder="1" applyAlignment="1">
      <alignment horizontal="center" vertical="center" wrapText="1"/>
    </xf>
    <xf numFmtId="0" fontId="1" fillId="6" borderId="19" xfId="0" applyFont="1" applyFill="1" applyBorder="1" applyAlignment="1">
      <alignment horizontal="center" vertical="center" wrapText="1"/>
    </xf>
    <xf numFmtId="192" fontId="1" fillId="20" borderId="16" xfId="0" applyNumberFormat="1" applyFont="1" applyFill="1" applyBorder="1" applyAlignment="1">
      <alignment horizontal="right" vertical="top" wrapText="1"/>
    </xf>
    <xf numFmtId="0" fontId="5" fillId="7" borderId="20" xfId="0" applyFont="1" applyFill="1" applyBorder="1" applyAlignment="1">
      <alignment/>
    </xf>
    <xf numFmtId="192" fontId="2" fillId="7" borderId="12" xfId="0" applyNumberFormat="1" applyFont="1" applyFill="1" applyBorder="1" applyAlignment="1">
      <alignment horizontal="right" vertical="top" wrapText="1"/>
    </xf>
    <xf numFmtId="192" fontId="1" fillId="7" borderId="12" xfId="0" applyNumberFormat="1" applyFont="1" applyFill="1" applyBorder="1" applyAlignment="1">
      <alignment horizontal="right" vertical="top" wrapText="1"/>
    </xf>
    <xf numFmtId="192" fontId="11" fillId="24" borderId="13" xfId="0" applyNumberFormat="1" applyFont="1" applyFill="1" applyBorder="1" applyAlignment="1">
      <alignment horizontal="right" vertical="top" wrapText="1"/>
    </xf>
    <xf numFmtId="192" fontId="2" fillId="0" borderId="12" xfId="0" applyNumberFormat="1" applyFont="1" applyFill="1" applyBorder="1" applyAlignment="1">
      <alignment horizontal="right" vertical="top" wrapText="1"/>
    </xf>
    <xf numFmtId="0" fontId="2" fillId="0" borderId="12" xfId="0" applyNumberFormat="1" applyFont="1" applyFill="1" applyBorder="1" applyAlignment="1">
      <alignment horizontal="right" vertical="top" wrapText="1"/>
    </xf>
    <xf numFmtId="0" fontId="5" fillId="25" borderId="21" xfId="0" applyFont="1" applyFill="1" applyBorder="1" applyAlignment="1">
      <alignment horizontal="center" vertical="center"/>
    </xf>
    <xf numFmtId="0" fontId="5" fillId="25" borderId="22" xfId="0" applyFont="1" applyFill="1" applyBorder="1" applyAlignment="1">
      <alignment horizontal="center" vertical="center"/>
    </xf>
    <xf numFmtId="0" fontId="5" fillId="25" borderId="23" xfId="0" applyFont="1" applyFill="1" applyBorder="1" applyAlignment="1">
      <alignment/>
    </xf>
    <xf numFmtId="192" fontId="2" fillId="25" borderId="17" xfId="0" applyNumberFormat="1" applyFont="1" applyFill="1" applyBorder="1" applyAlignment="1">
      <alignment horizontal="right" vertical="top" wrapText="1"/>
    </xf>
    <xf numFmtId="192" fontId="2" fillId="25" borderId="12" xfId="0" applyNumberFormat="1" applyFont="1" applyFill="1" applyBorder="1" applyAlignment="1">
      <alignment horizontal="right" vertical="top" wrapText="1"/>
    </xf>
    <xf numFmtId="0" fontId="5" fillId="25" borderId="22" xfId="0" applyFont="1" applyFill="1" applyBorder="1" applyAlignment="1">
      <alignment horizontal="center" vertical="center"/>
    </xf>
    <xf numFmtId="0" fontId="5" fillId="25" borderId="24" xfId="0" applyFont="1" applyFill="1" applyBorder="1" applyAlignment="1">
      <alignment/>
    </xf>
    <xf numFmtId="0" fontId="0" fillId="25" borderId="25" xfId="0" applyFill="1" applyBorder="1" applyAlignment="1">
      <alignment/>
    </xf>
    <xf numFmtId="0" fontId="0" fillId="25" borderId="25" xfId="0" applyNumberFormat="1" applyFill="1" applyBorder="1" applyAlignment="1">
      <alignment/>
    </xf>
    <xf numFmtId="0" fontId="0" fillId="25" borderId="26" xfId="0" applyFont="1" applyFill="1" applyBorder="1" applyAlignment="1">
      <alignment/>
    </xf>
    <xf numFmtId="0" fontId="0" fillId="25" borderId="27" xfId="0" applyFill="1" applyBorder="1" applyAlignment="1">
      <alignment/>
    </xf>
    <xf numFmtId="0" fontId="0" fillId="25" borderId="27" xfId="0" applyNumberFormat="1" applyFill="1" applyBorder="1" applyAlignment="1">
      <alignment/>
    </xf>
    <xf numFmtId="0" fontId="10" fillId="25" borderId="27" xfId="0" applyFont="1" applyFill="1" applyBorder="1" applyAlignment="1">
      <alignment/>
    </xf>
    <xf numFmtId="0" fontId="0" fillId="25" borderId="28" xfId="0" applyFont="1" applyFill="1" applyBorder="1" applyAlignment="1">
      <alignment/>
    </xf>
    <xf numFmtId="0" fontId="5" fillId="14" borderId="11" xfId="0" applyFont="1" applyFill="1" applyBorder="1" applyAlignment="1">
      <alignment/>
    </xf>
    <xf numFmtId="192" fontId="1" fillId="14" borderId="16" xfId="0" applyNumberFormat="1" applyFont="1" applyFill="1" applyBorder="1" applyAlignment="1">
      <alignment horizontal="right" vertical="top" wrapText="1"/>
    </xf>
    <xf numFmtId="0" fontId="1" fillId="14" borderId="11" xfId="0" applyNumberFormat="1" applyFont="1" applyFill="1" applyBorder="1" applyAlignment="1">
      <alignment horizontal="right" vertical="top" wrapText="1"/>
    </xf>
    <xf numFmtId="192" fontId="1" fillId="14" borderId="15" xfId="0" applyNumberFormat="1" applyFont="1" applyFill="1" applyBorder="1" applyAlignment="1">
      <alignment horizontal="right" vertical="top" wrapText="1"/>
    </xf>
    <xf numFmtId="192" fontId="1" fillId="14" borderId="16" xfId="0" applyNumberFormat="1" applyFont="1" applyFill="1" applyBorder="1" applyAlignment="1">
      <alignment horizontal="left" vertical="top" wrapText="1"/>
    </xf>
    <xf numFmtId="192" fontId="2" fillId="26" borderId="29" xfId="0" applyNumberFormat="1" applyFont="1" applyFill="1" applyBorder="1" applyAlignment="1">
      <alignment horizontal="left" vertical="top" wrapText="1"/>
    </xf>
    <xf numFmtId="192" fontId="2" fillId="26" borderId="30" xfId="0" applyNumberFormat="1" applyFont="1" applyFill="1" applyBorder="1" applyAlignment="1">
      <alignment horizontal="left" vertical="top" wrapText="1"/>
    </xf>
    <xf numFmtId="0" fontId="2" fillId="26" borderId="12" xfId="0" applyFont="1" applyFill="1" applyBorder="1" applyAlignment="1">
      <alignment horizontal="left" vertical="top" wrapText="1"/>
    </xf>
    <xf numFmtId="192" fontId="11" fillId="24" borderId="18" xfId="0" applyNumberFormat="1" applyFont="1" applyFill="1" applyBorder="1" applyAlignment="1">
      <alignment horizontal="right" vertical="top" wrapText="1"/>
    </xf>
    <xf numFmtId="192" fontId="2" fillId="26" borderId="12" xfId="0" applyNumberFormat="1" applyFont="1" applyFill="1" applyBorder="1" applyAlignment="1">
      <alignment horizontal="right" vertical="top" wrapText="1"/>
    </xf>
    <xf numFmtId="0" fontId="3" fillId="0" borderId="31" xfId="0" applyFont="1" applyBorder="1" applyAlignment="1">
      <alignment/>
    </xf>
    <xf numFmtId="2" fontId="0" fillId="0" borderId="0" xfId="0" applyNumberFormat="1" applyFont="1" applyAlignment="1">
      <alignment/>
    </xf>
    <xf numFmtId="199" fontId="1" fillId="21" borderId="16" xfId="0" applyNumberFormat="1" applyFont="1" applyFill="1" applyBorder="1" applyAlignment="1">
      <alignment horizontal="right" wrapText="1"/>
    </xf>
    <xf numFmtId="192" fontId="1" fillId="26" borderId="30" xfId="0" applyNumberFormat="1" applyFont="1" applyFill="1" applyBorder="1" applyAlignment="1">
      <alignment horizontal="left" vertical="top" wrapText="1"/>
    </xf>
    <xf numFmtId="192" fontId="5" fillId="26" borderId="30" xfId="0" applyNumberFormat="1" applyFont="1" applyFill="1" applyBorder="1" applyAlignment="1">
      <alignment horizontal="left" vertical="top" wrapText="1"/>
    </xf>
    <xf numFmtId="192" fontId="0" fillId="0" borderId="0" xfId="0" applyNumberFormat="1" applyFont="1" applyAlignment="1">
      <alignment/>
    </xf>
    <xf numFmtId="0" fontId="7" fillId="23" borderId="16" xfId="0" applyFont="1" applyFill="1" applyBorder="1" applyAlignment="1">
      <alignment horizontal="center" wrapText="1"/>
    </xf>
    <xf numFmtId="0" fontId="7" fillId="22" borderId="14" xfId="0" applyFont="1" applyFill="1" applyBorder="1" applyAlignment="1">
      <alignment horizontal="center" wrapText="1"/>
    </xf>
    <xf numFmtId="0" fontId="14" fillId="0" borderId="32" xfId="0" applyFont="1" applyBorder="1" applyAlignment="1">
      <alignment horizontal="center" wrapText="1"/>
    </xf>
    <xf numFmtId="0" fontId="14" fillId="0" borderId="33" xfId="0" applyFont="1" applyBorder="1" applyAlignment="1">
      <alignment horizontal="center" wrapText="1"/>
    </xf>
    <xf numFmtId="0" fontId="15" fillId="2" borderId="34" xfId="0" applyFont="1" applyFill="1" applyBorder="1" applyAlignment="1">
      <alignment horizontal="justify" vertical="top" wrapText="1"/>
    </xf>
    <xf numFmtId="0" fontId="16" fillId="2" borderId="34" xfId="0" applyFont="1" applyFill="1" applyBorder="1" applyAlignment="1">
      <alignment horizontal="justify" vertical="top" wrapText="1"/>
    </xf>
    <xf numFmtId="0" fontId="15" fillId="2" borderId="32" xfId="0" applyFont="1" applyFill="1" applyBorder="1" applyAlignment="1">
      <alignment horizontal="justify" vertical="top" wrapText="1"/>
    </xf>
    <xf numFmtId="0" fontId="15" fillId="0" borderId="35" xfId="0" applyFont="1" applyBorder="1" applyAlignment="1">
      <alignment horizontal="right" vertical="top" wrapText="1"/>
    </xf>
    <xf numFmtId="0" fontId="16" fillId="0" borderId="35" xfId="0" applyFont="1" applyBorder="1" applyAlignment="1">
      <alignment horizontal="right" vertical="top" wrapText="1"/>
    </xf>
    <xf numFmtId="0" fontId="0" fillId="0" borderId="33" xfId="0" applyBorder="1" applyAlignment="1">
      <alignment vertical="top" wrapText="1"/>
    </xf>
    <xf numFmtId="0" fontId="15" fillId="2" borderId="32" xfId="0" applyFont="1" applyFill="1" applyBorder="1" applyAlignment="1">
      <alignment vertical="top" wrapText="1"/>
    </xf>
    <xf numFmtId="0" fontId="15" fillId="0" borderId="33" xfId="0" applyFont="1" applyBorder="1" applyAlignment="1">
      <alignment horizontal="right" wrapText="1"/>
    </xf>
    <xf numFmtId="0" fontId="2" fillId="26" borderId="36" xfId="0" applyFont="1" applyFill="1" applyBorder="1" applyAlignment="1">
      <alignment horizontal="left" vertical="top" wrapText="1"/>
    </xf>
    <xf numFmtId="192" fontId="2" fillId="26" borderId="37" xfId="0" applyNumberFormat="1" applyFont="1" applyFill="1" applyBorder="1" applyAlignment="1">
      <alignment horizontal="left" vertical="top" wrapText="1"/>
    </xf>
    <xf numFmtId="192" fontId="2" fillId="0" borderId="36" xfId="0" applyNumberFormat="1" applyFont="1" applyBorder="1" applyAlignment="1">
      <alignment horizontal="right" vertical="top" wrapText="1"/>
    </xf>
    <xf numFmtId="0" fontId="2" fillId="0" borderId="36" xfId="0" applyNumberFormat="1" applyFont="1" applyBorder="1" applyAlignment="1">
      <alignment horizontal="right" vertical="top" wrapText="1"/>
    </xf>
    <xf numFmtId="192" fontId="2" fillId="25" borderId="36" xfId="0" applyNumberFormat="1" applyFont="1" applyFill="1" applyBorder="1" applyAlignment="1">
      <alignment horizontal="right" vertical="top" wrapText="1"/>
    </xf>
    <xf numFmtId="192" fontId="1" fillId="6" borderId="36" xfId="0" applyNumberFormat="1" applyFont="1" applyFill="1" applyBorder="1" applyAlignment="1">
      <alignment horizontal="right" vertical="top" wrapText="1"/>
    </xf>
    <xf numFmtId="192" fontId="1" fillId="20" borderId="38" xfId="0" applyNumberFormat="1" applyFont="1" applyFill="1" applyBorder="1" applyAlignment="1">
      <alignment horizontal="right" vertical="top" wrapText="1"/>
    </xf>
    <xf numFmtId="192" fontId="1" fillId="8" borderId="17" xfId="0" applyNumberFormat="1" applyFont="1" applyFill="1" applyBorder="1" applyAlignment="1">
      <alignment horizontal="right" vertical="top" wrapText="1"/>
    </xf>
    <xf numFmtId="192" fontId="1" fillId="8" borderId="12" xfId="0" applyNumberFormat="1" applyFont="1" applyFill="1" applyBorder="1" applyAlignment="1">
      <alignment horizontal="right" vertical="top" wrapText="1"/>
    </xf>
    <xf numFmtId="192" fontId="1" fillId="8" borderId="36" xfId="0" applyNumberFormat="1" applyFont="1" applyFill="1" applyBorder="1" applyAlignment="1">
      <alignment horizontal="right" vertical="top" wrapText="1"/>
    </xf>
    <xf numFmtId="192" fontId="34" fillId="27" borderId="16" xfId="0" applyNumberFormat="1" applyFont="1" applyFill="1" applyBorder="1" applyAlignment="1">
      <alignment horizontal="left" vertical="top" wrapText="1"/>
    </xf>
    <xf numFmtId="192" fontId="34" fillId="27" borderId="16" xfId="0" applyNumberFormat="1" applyFont="1" applyFill="1" applyBorder="1" applyAlignment="1">
      <alignment horizontal="right" vertical="top" wrapText="1"/>
    </xf>
    <xf numFmtId="0" fontId="34" fillId="27" borderId="11" xfId="0" applyNumberFormat="1" applyFont="1" applyFill="1" applyBorder="1" applyAlignment="1">
      <alignment horizontal="right" vertical="top" wrapText="1"/>
    </xf>
    <xf numFmtId="192" fontId="34" fillId="27" borderId="15" xfId="0" applyNumberFormat="1" applyFont="1" applyFill="1" applyBorder="1" applyAlignment="1">
      <alignment horizontal="right" vertical="top" wrapText="1"/>
    </xf>
    <xf numFmtId="192" fontId="34" fillId="28" borderId="14" xfId="0" applyNumberFormat="1" applyFont="1" applyFill="1" applyBorder="1" applyAlignment="1">
      <alignment horizontal="right" wrapText="1"/>
    </xf>
    <xf numFmtId="192" fontId="34" fillId="28" borderId="16" xfId="0" applyNumberFormat="1" applyFont="1" applyFill="1" applyBorder="1" applyAlignment="1">
      <alignment horizontal="right" wrapText="1"/>
    </xf>
    <xf numFmtId="199" fontId="34" fillId="28" borderId="16" xfId="0" applyNumberFormat="1" applyFont="1" applyFill="1" applyBorder="1" applyAlignment="1">
      <alignment horizontal="right" wrapText="1"/>
    </xf>
    <xf numFmtId="192" fontId="34" fillId="28" borderId="15" xfId="0" applyNumberFormat="1" applyFont="1" applyFill="1" applyBorder="1" applyAlignment="1">
      <alignment horizontal="right" wrapText="1"/>
    </xf>
    <xf numFmtId="0" fontId="1" fillId="28" borderId="11" xfId="0" applyFont="1" applyFill="1" applyBorder="1" applyAlignment="1">
      <alignment horizontal="left" wrapText="1"/>
    </xf>
    <xf numFmtId="0" fontId="18" fillId="0" borderId="0" xfId="0" applyFont="1" applyAlignment="1">
      <alignment/>
    </xf>
    <xf numFmtId="192" fontId="34" fillId="29" borderId="18" xfId="0" applyNumberFormat="1" applyFont="1" applyFill="1" applyBorder="1" applyAlignment="1">
      <alignment horizontal="right" vertical="top" wrapText="1"/>
    </xf>
    <xf numFmtId="192" fontId="34" fillId="29" borderId="13" xfId="0" applyNumberFormat="1" applyFont="1" applyFill="1" applyBorder="1" applyAlignment="1">
      <alignment horizontal="right" vertical="top" wrapText="1"/>
    </xf>
    <xf numFmtId="192" fontId="34" fillId="29" borderId="38" xfId="0" applyNumberFormat="1" applyFont="1" applyFill="1" applyBorder="1" applyAlignment="1">
      <alignment horizontal="right" vertical="top" wrapText="1"/>
    </xf>
    <xf numFmtId="2" fontId="18" fillId="0" borderId="0" xfId="0" applyNumberFormat="1" applyFont="1" applyAlignment="1">
      <alignment/>
    </xf>
    <xf numFmtId="0" fontId="0" fillId="29" borderId="0" xfId="0" applyFill="1" applyAlignment="1">
      <alignment/>
    </xf>
    <xf numFmtId="0" fontId="0" fillId="0" borderId="0" xfId="0" applyFill="1" applyAlignment="1">
      <alignment/>
    </xf>
    <xf numFmtId="0" fontId="1" fillId="8" borderId="21" xfId="0" applyFont="1" applyFill="1" applyBorder="1" applyAlignment="1">
      <alignment horizontal="center" vertical="center"/>
    </xf>
    <xf numFmtId="192" fontId="2" fillId="26" borderId="29" xfId="0" applyNumberFormat="1" applyFont="1" applyFill="1" applyBorder="1" applyAlignment="1">
      <alignment horizontal="left" vertical="top" wrapText="1"/>
    </xf>
    <xf numFmtId="192" fontId="2" fillId="26" borderId="12" xfId="0" applyNumberFormat="1" applyFont="1" applyFill="1" applyBorder="1" applyAlignment="1">
      <alignment horizontal="right" vertical="top" wrapText="1"/>
    </xf>
    <xf numFmtId="0" fontId="1" fillId="8" borderId="22" xfId="0" applyFont="1" applyFill="1" applyBorder="1" applyAlignment="1">
      <alignment horizontal="center" vertical="center"/>
    </xf>
    <xf numFmtId="0" fontId="34" fillId="27" borderId="11" xfId="0" applyFont="1" applyFill="1" applyBorder="1" applyAlignment="1">
      <alignment/>
    </xf>
    <xf numFmtId="0" fontId="1" fillId="8" borderId="22" xfId="0" applyFont="1" applyFill="1" applyBorder="1" applyAlignment="1">
      <alignment horizontal="center" vertical="center"/>
    </xf>
    <xf numFmtId="0" fontId="1" fillId="8" borderId="20" xfId="0" applyFont="1" applyFill="1" applyBorder="1" applyAlignment="1">
      <alignment/>
    </xf>
    <xf numFmtId="192" fontId="1" fillId="26" borderId="30" xfId="0" applyNumberFormat="1" applyFont="1" applyFill="1" applyBorder="1" applyAlignment="1">
      <alignment horizontal="left" vertical="top" wrapText="1"/>
    </xf>
    <xf numFmtId="0" fontId="1" fillId="0" borderId="23" xfId="0" applyFont="1" applyFill="1" applyBorder="1" applyAlignment="1">
      <alignment/>
    </xf>
    <xf numFmtId="0" fontId="39" fillId="0" borderId="27" xfId="0" applyFont="1" applyFill="1" applyBorder="1" applyAlignment="1">
      <alignment/>
    </xf>
    <xf numFmtId="0" fontId="39" fillId="0" borderId="27" xfId="0" applyNumberFormat="1" applyFont="1" applyFill="1" applyBorder="1" applyAlignment="1">
      <alignment/>
    </xf>
    <xf numFmtId="0" fontId="2" fillId="0" borderId="27" xfId="0" applyFont="1" applyFill="1" applyBorder="1" applyAlignment="1">
      <alignment/>
    </xf>
    <xf numFmtId="0" fontId="40" fillId="0" borderId="28" xfId="0" applyFont="1" applyFill="1" applyBorder="1" applyAlignment="1">
      <alignment/>
    </xf>
    <xf numFmtId="192" fontId="33" fillId="21" borderId="14" xfId="0" applyNumberFormat="1" applyFont="1" applyFill="1" applyBorder="1" applyAlignment="1">
      <alignment horizontal="left" wrapText="1"/>
    </xf>
    <xf numFmtId="192" fontId="38" fillId="28" borderId="14" xfId="0" applyNumberFormat="1" applyFont="1" applyFill="1" applyBorder="1" applyAlignment="1">
      <alignment horizontal="left" wrapText="1"/>
    </xf>
    <xf numFmtId="0" fontId="41" fillId="26" borderId="12" xfId="0" applyFont="1" applyFill="1" applyBorder="1" applyAlignment="1">
      <alignment horizontal="left" vertical="top" wrapText="1"/>
    </xf>
    <xf numFmtId="0" fontId="33" fillId="0" borderId="32" xfId="0" applyFont="1" applyBorder="1" applyAlignment="1">
      <alignment horizontal="center" wrapText="1"/>
    </xf>
    <xf numFmtId="0" fontId="15" fillId="4" borderId="33" xfId="0" applyFont="1" applyFill="1" applyBorder="1" applyAlignment="1">
      <alignment horizontal="right" wrapText="1"/>
    </xf>
    <xf numFmtId="192" fontId="39" fillId="0" borderId="12" xfId="0" applyNumberFormat="1" applyFont="1" applyBorder="1" applyAlignment="1">
      <alignment horizontal="right" vertical="top" wrapText="1"/>
    </xf>
    <xf numFmtId="0" fontId="39" fillId="0" borderId="12" xfId="0" applyNumberFormat="1" applyFont="1" applyBorder="1" applyAlignment="1">
      <alignment horizontal="right" vertical="top" wrapText="1"/>
    </xf>
    <xf numFmtId="192" fontId="39" fillId="25" borderId="12" xfId="0" applyNumberFormat="1" applyFont="1" applyFill="1" applyBorder="1" applyAlignment="1">
      <alignment horizontal="right" vertical="top" wrapText="1"/>
    </xf>
    <xf numFmtId="192" fontId="43" fillId="6" borderId="12" xfId="0" applyNumberFormat="1" applyFont="1" applyFill="1" applyBorder="1" applyAlignment="1">
      <alignment horizontal="right" vertical="top" wrapText="1"/>
    </xf>
    <xf numFmtId="192" fontId="39" fillId="26" borderId="12" xfId="0" applyNumberFormat="1" applyFont="1" applyFill="1" applyBorder="1" applyAlignment="1">
      <alignment horizontal="right" vertical="top" wrapText="1"/>
    </xf>
    <xf numFmtId="0" fontId="39" fillId="26" borderId="12" xfId="0" applyNumberFormat="1" applyFont="1" applyFill="1" applyBorder="1" applyAlignment="1">
      <alignment horizontal="right" vertical="top" wrapText="1"/>
    </xf>
    <xf numFmtId="192" fontId="43" fillId="26" borderId="12" xfId="0" applyNumberFormat="1" applyFont="1" applyFill="1" applyBorder="1" applyAlignment="1">
      <alignment horizontal="right" vertical="top" wrapText="1"/>
    </xf>
    <xf numFmtId="192" fontId="39" fillId="0" borderId="12" xfId="0" applyNumberFormat="1" applyFont="1" applyFill="1" applyBorder="1" applyAlignment="1">
      <alignment horizontal="right" vertical="top" wrapText="1"/>
    </xf>
    <xf numFmtId="0" fontId="39" fillId="0" borderId="12" xfId="0" applyNumberFormat="1" applyFont="1" applyFill="1" applyBorder="1" applyAlignment="1">
      <alignment horizontal="right" vertical="top" wrapText="1"/>
    </xf>
    <xf numFmtId="192" fontId="6" fillId="24" borderId="15" xfId="0" applyNumberFormat="1" applyFont="1" applyFill="1" applyBorder="1" applyAlignment="1">
      <alignment horizontal="right" vertical="top" wrapText="1"/>
    </xf>
    <xf numFmtId="0" fontId="6" fillId="21" borderId="12" xfId="0" applyFont="1" applyFill="1" applyBorder="1" applyAlignment="1">
      <alignment horizontal="center" vertical="center"/>
    </xf>
    <xf numFmtId="0" fontId="6" fillId="8" borderId="12" xfId="0" applyFont="1" applyFill="1" applyBorder="1" applyAlignment="1">
      <alignment horizontal="center" vertical="center" wrapText="1"/>
    </xf>
    <xf numFmtId="0" fontId="43" fillId="6" borderId="12" xfId="0" applyFont="1" applyFill="1" applyBorder="1" applyAlignment="1">
      <alignment horizontal="center" vertical="center" wrapText="1"/>
    </xf>
    <xf numFmtId="0" fontId="43" fillId="6" borderId="12" xfId="0" applyNumberFormat="1" applyFont="1" applyFill="1" applyBorder="1" applyAlignment="1">
      <alignment horizontal="center" vertical="center" wrapText="1"/>
    </xf>
    <xf numFmtId="0" fontId="3" fillId="20" borderId="12" xfId="0" applyFont="1" applyFill="1" applyBorder="1" applyAlignment="1">
      <alignment horizontal="center"/>
    </xf>
    <xf numFmtId="0" fontId="39" fillId="26" borderId="12" xfId="0" applyFont="1" applyFill="1" applyBorder="1" applyAlignment="1">
      <alignment horizontal="left" vertical="top" wrapText="1"/>
    </xf>
    <xf numFmtId="192" fontId="43" fillId="20" borderId="12" xfId="0" applyNumberFormat="1" applyFont="1" applyFill="1" applyBorder="1" applyAlignment="1">
      <alignment horizontal="right" vertical="top" wrapText="1"/>
    </xf>
    <xf numFmtId="192" fontId="39" fillId="6" borderId="12" xfId="0" applyNumberFormat="1" applyFont="1" applyFill="1" applyBorder="1" applyAlignment="1">
      <alignment horizontal="right" vertical="top" wrapText="1"/>
    </xf>
    <xf numFmtId="192" fontId="39" fillId="20" borderId="12" xfId="0" applyNumberFormat="1" applyFont="1" applyFill="1" applyBorder="1" applyAlignment="1">
      <alignment horizontal="right" vertical="top" wrapText="1"/>
    </xf>
    <xf numFmtId="0" fontId="43" fillId="26" borderId="12" xfId="0" applyFont="1" applyFill="1" applyBorder="1" applyAlignment="1">
      <alignment/>
    </xf>
    <xf numFmtId="0" fontId="0" fillId="8" borderId="12" xfId="0" applyFont="1" applyFill="1" applyBorder="1" applyAlignment="1">
      <alignment/>
    </xf>
    <xf numFmtId="0" fontId="0" fillId="8" borderId="12" xfId="0" applyFont="1" applyFill="1" applyBorder="1" applyAlignment="1">
      <alignment horizontal="right" vertical="center"/>
    </xf>
    <xf numFmtId="192" fontId="43" fillId="8" borderId="12" xfId="0" applyNumberFormat="1" applyFont="1" applyFill="1" applyBorder="1" applyAlignment="1">
      <alignment horizontal="left" vertical="top" wrapText="1"/>
    </xf>
    <xf numFmtId="192" fontId="43" fillId="8" borderId="12" xfId="0" applyNumberFormat="1" applyFont="1" applyFill="1" applyBorder="1" applyAlignment="1">
      <alignment horizontal="right" vertical="top" wrapText="1"/>
    </xf>
    <xf numFmtId="0" fontId="43" fillId="8" borderId="12" xfId="0" applyNumberFormat="1" applyFont="1" applyFill="1" applyBorder="1" applyAlignment="1">
      <alignment horizontal="right" vertical="top" wrapText="1"/>
    </xf>
    <xf numFmtId="0" fontId="0" fillId="0" borderId="36" xfId="0" applyFont="1" applyFill="1" applyBorder="1" applyAlignment="1">
      <alignment/>
    </xf>
    <xf numFmtId="0" fontId="0" fillId="0" borderId="36" xfId="0" applyNumberFormat="1" applyFont="1" applyFill="1" applyBorder="1" applyAlignment="1">
      <alignment/>
    </xf>
    <xf numFmtId="192" fontId="43" fillId="20" borderId="39" xfId="0" applyNumberFormat="1" applyFont="1" applyFill="1" applyBorder="1" applyAlignment="1">
      <alignment horizontal="left" wrapText="1"/>
    </xf>
    <xf numFmtId="192" fontId="43" fillId="20" borderId="40" xfId="0" applyNumberFormat="1" applyFont="1" applyFill="1" applyBorder="1" applyAlignment="1">
      <alignment horizontal="right" wrapText="1"/>
    </xf>
    <xf numFmtId="0" fontId="43" fillId="20" borderId="40" xfId="0" applyNumberFormat="1" applyFont="1" applyFill="1" applyBorder="1" applyAlignment="1">
      <alignment horizontal="right" wrapText="1"/>
    </xf>
    <xf numFmtId="0" fontId="6" fillId="21" borderId="10" xfId="0" applyFont="1" applyFill="1" applyBorder="1" applyAlignment="1">
      <alignment horizontal="center"/>
    </xf>
    <xf numFmtId="0" fontId="6" fillId="21" borderId="14" xfId="0" applyFont="1" applyFill="1" applyBorder="1" applyAlignment="1">
      <alignment horizontal="center"/>
    </xf>
    <xf numFmtId="0" fontId="0" fillId="0" borderId="41" xfId="0" applyBorder="1" applyAlignment="1">
      <alignment/>
    </xf>
    <xf numFmtId="0" fontId="3" fillId="0" borderId="42" xfId="0" applyFont="1" applyBorder="1" applyAlignment="1">
      <alignment horizontal="center"/>
    </xf>
    <xf numFmtId="0" fontId="3" fillId="0" borderId="43" xfId="0" applyFont="1" applyBorder="1" applyAlignment="1">
      <alignment horizontal="center"/>
    </xf>
    <xf numFmtId="0" fontId="0" fillId="0" borderId="44" xfId="0" applyBorder="1" applyAlignment="1">
      <alignment/>
    </xf>
    <xf numFmtId="3" fontId="0" fillId="0" borderId="0" xfId="0" applyNumberFormat="1" applyBorder="1" applyAlignment="1">
      <alignment/>
    </xf>
    <xf numFmtId="3" fontId="0" fillId="0" borderId="35" xfId="0" applyNumberFormat="1" applyBorder="1" applyAlignment="1">
      <alignment/>
    </xf>
    <xf numFmtId="0" fontId="0" fillId="0" borderId="31" xfId="0" applyBorder="1" applyAlignment="1">
      <alignment/>
    </xf>
    <xf numFmtId="3" fontId="0" fillId="0" borderId="45" xfId="0" applyNumberFormat="1" applyBorder="1" applyAlignment="1">
      <alignment/>
    </xf>
    <xf numFmtId="3" fontId="0" fillId="0" borderId="33" xfId="0" applyNumberFormat="1" applyBorder="1" applyAlignment="1">
      <alignment/>
    </xf>
    <xf numFmtId="0" fontId="5" fillId="20" borderId="11" xfId="0" applyFont="1" applyFill="1" applyBorder="1" applyAlignment="1">
      <alignment horizontal="left" vertical="top" wrapText="1"/>
    </xf>
    <xf numFmtId="0" fontId="5" fillId="20" borderId="10" xfId="0" applyFont="1" applyFill="1" applyBorder="1" applyAlignment="1">
      <alignment horizontal="left" vertical="top" wrapText="1"/>
    </xf>
    <xf numFmtId="0" fontId="5" fillId="20" borderId="14" xfId="0" applyFont="1" applyFill="1" applyBorder="1" applyAlignment="1">
      <alignment horizontal="left" vertical="top" wrapText="1"/>
    </xf>
    <xf numFmtId="0" fontId="1" fillId="6" borderId="46" xfId="0" applyFont="1" applyFill="1" applyBorder="1" applyAlignment="1">
      <alignment horizontal="center" vertical="center" textRotation="90" wrapText="1"/>
    </xf>
    <xf numFmtId="0" fontId="1" fillId="6" borderId="34" xfId="0" applyFont="1" applyFill="1" applyBorder="1" applyAlignment="1">
      <alignment horizontal="center" vertical="center" textRotation="90" wrapText="1"/>
    </xf>
    <xf numFmtId="0" fontId="1" fillId="6" borderId="32" xfId="0" applyFont="1" applyFill="1" applyBorder="1" applyAlignment="1">
      <alignment horizontal="center" vertical="center" textRotation="90" wrapText="1"/>
    </xf>
    <xf numFmtId="0" fontId="6" fillId="21" borderId="11" xfId="0" applyFont="1" applyFill="1" applyBorder="1" applyAlignment="1">
      <alignment horizontal="center"/>
    </xf>
    <xf numFmtId="0" fontId="7" fillId="6" borderId="46"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4" fillId="20" borderId="46" xfId="0" applyFont="1" applyFill="1" applyBorder="1" applyAlignment="1">
      <alignment horizontal="center" vertical="center" wrapText="1"/>
    </xf>
    <xf numFmtId="0" fontId="4" fillId="20" borderId="34" xfId="0" applyFont="1" applyFill="1" applyBorder="1" applyAlignment="1">
      <alignment horizontal="center" vertical="center" wrapText="1"/>
    </xf>
    <xf numFmtId="0" fontId="4" fillId="20" borderId="32" xfId="0" applyFont="1" applyFill="1" applyBorder="1" applyAlignment="1">
      <alignment horizontal="center" vertical="center" wrapText="1"/>
    </xf>
    <xf numFmtId="0" fontId="8" fillId="6" borderId="49" xfId="0" applyFont="1" applyFill="1" applyBorder="1" applyAlignment="1">
      <alignment horizontal="center" wrapText="1"/>
    </xf>
    <xf numFmtId="0" fontId="8" fillId="6" borderId="10" xfId="0" applyFont="1" applyFill="1" applyBorder="1" applyAlignment="1">
      <alignment horizontal="center" wrapText="1"/>
    </xf>
    <xf numFmtId="0" fontId="8" fillId="6" borderId="50" xfId="0" applyFont="1" applyFill="1" applyBorder="1" applyAlignment="1">
      <alignment horizontal="center" wrapText="1"/>
    </xf>
    <xf numFmtId="0" fontId="9" fillId="6" borderId="51" xfId="0" applyFont="1" applyFill="1" applyBorder="1" applyAlignment="1">
      <alignment horizontal="center" vertical="center" wrapText="1"/>
    </xf>
    <xf numFmtId="0" fontId="9" fillId="6" borderId="52" xfId="0" applyFont="1" applyFill="1" applyBorder="1" applyAlignment="1">
      <alignment horizontal="center" vertical="center" wrapText="1"/>
    </xf>
    <xf numFmtId="0" fontId="43" fillId="26" borderId="53" xfId="0" applyFont="1" applyFill="1" applyBorder="1" applyAlignment="1">
      <alignment horizontal="left"/>
    </xf>
    <xf numFmtId="0" fontId="43" fillId="26" borderId="54" xfId="0" applyFont="1" applyFill="1" applyBorder="1" applyAlignment="1">
      <alignment horizontal="left"/>
    </xf>
    <xf numFmtId="0" fontId="43" fillId="26" borderId="30" xfId="0" applyFont="1" applyFill="1" applyBorder="1" applyAlignment="1">
      <alignment horizontal="left"/>
    </xf>
    <xf numFmtId="0" fontId="6" fillId="8" borderId="12" xfId="0" applyFont="1" applyFill="1" applyBorder="1" applyAlignment="1">
      <alignment horizontal="center" vertical="center" wrapText="1"/>
    </xf>
    <xf numFmtId="0" fontId="3" fillId="26" borderId="12" xfId="0" applyFont="1" applyFill="1" applyBorder="1" applyAlignment="1">
      <alignment horizontal="left" vertical="top" wrapText="1"/>
    </xf>
    <xf numFmtId="0" fontId="3" fillId="8" borderId="12"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6" fillId="21" borderId="12" xfId="0" applyFont="1" applyFill="1" applyBorder="1" applyAlignment="1">
      <alignment horizontal="center" vertical="center"/>
    </xf>
    <xf numFmtId="0" fontId="6" fillId="21" borderId="12" xfId="0" applyFont="1" applyFill="1" applyBorder="1" applyAlignment="1">
      <alignment horizontal="center"/>
    </xf>
    <xf numFmtId="0" fontId="42" fillId="8" borderId="12" xfId="0" applyFont="1" applyFill="1" applyBorder="1" applyAlignment="1">
      <alignment horizontal="center" vertical="center" wrapText="1"/>
    </xf>
    <xf numFmtId="0" fontId="17" fillId="2" borderId="46" xfId="0" applyFont="1" applyFill="1" applyBorder="1" applyAlignment="1">
      <alignment horizontal="justify" vertical="top" wrapText="1"/>
    </xf>
    <xf numFmtId="0" fontId="17" fillId="2" borderId="32" xfId="0" applyFont="1" applyFill="1" applyBorder="1" applyAlignment="1">
      <alignment horizontal="justify" vertical="top" wrapText="1"/>
    </xf>
    <xf numFmtId="0" fontId="17" fillId="0" borderId="46" xfId="0" applyFont="1" applyBorder="1" applyAlignment="1">
      <alignment horizontal="right" wrapText="1"/>
    </xf>
    <xf numFmtId="0" fontId="17" fillId="0" borderId="32" xfId="0" applyFont="1" applyBorder="1" applyAlignment="1">
      <alignment horizontal="right" wrapText="1"/>
    </xf>
    <xf numFmtId="0" fontId="15" fillId="2" borderId="46" xfId="0" applyFont="1" applyFill="1" applyBorder="1" applyAlignment="1">
      <alignment horizontal="justify" vertical="top" wrapText="1"/>
    </xf>
    <xf numFmtId="0" fontId="15" fillId="2" borderId="32" xfId="0" applyFont="1" applyFill="1" applyBorder="1" applyAlignment="1">
      <alignment horizontal="justify" vertical="top" wrapText="1"/>
    </xf>
    <xf numFmtId="0" fontId="15" fillId="0" borderId="46" xfId="0" applyFont="1" applyBorder="1" applyAlignment="1">
      <alignment horizontal="right" wrapText="1"/>
    </xf>
    <xf numFmtId="0" fontId="15" fillId="0" borderId="32" xfId="0" applyFont="1" applyBorder="1" applyAlignment="1">
      <alignment horizontal="right" wrapText="1"/>
    </xf>
    <xf numFmtId="0" fontId="35" fillId="8" borderId="47" xfId="0" applyFont="1" applyFill="1" applyBorder="1" applyAlignment="1">
      <alignment horizontal="center" vertical="center" wrapText="1"/>
    </xf>
    <xf numFmtId="0" fontId="35" fillId="8" borderId="48" xfId="0" applyFont="1" applyFill="1" applyBorder="1" applyAlignment="1">
      <alignment horizontal="center" vertical="center" wrapText="1"/>
    </xf>
    <xf numFmtId="0" fontId="38" fillId="29" borderId="46" xfId="0" applyFont="1" applyFill="1" applyBorder="1" applyAlignment="1">
      <alignment horizontal="center" vertical="center" wrapText="1"/>
    </xf>
    <xf numFmtId="0" fontId="38" fillId="29" borderId="34" xfId="0" applyFont="1" applyFill="1" applyBorder="1" applyAlignment="1">
      <alignment horizontal="center" vertical="center" wrapText="1"/>
    </xf>
    <xf numFmtId="0" fontId="38" fillId="29" borderId="32" xfId="0" applyFont="1" applyFill="1" applyBorder="1" applyAlignment="1">
      <alignment horizontal="center" vertical="center" wrapText="1"/>
    </xf>
    <xf numFmtId="0" fontId="36" fillId="8" borderId="51" xfId="0" applyFont="1" applyFill="1" applyBorder="1" applyAlignment="1">
      <alignment horizontal="center" vertical="center" wrapText="1"/>
    </xf>
    <xf numFmtId="0" fontId="36" fillId="8" borderId="52" xfId="0" applyFont="1" applyFill="1" applyBorder="1" applyAlignment="1">
      <alignment horizontal="center" vertical="center" wrapText="1"/>
    </xf>
    <xf numFmtId="0" fontId="35" fillId="6" borderId="47" xfId="0" applyFont="1" applyFill="1" applyBorder="1" applyAlignment="1">
      <alignment horizontal="center" vertical="center" wrapText="1"/>
    </xf>
    <xf numFmtId="0" fontId="35" fillId="6" borderId="48" xfId="0" applyFont="1" applyFill="1" applyBorder="1" applyAlignment="1">
      <alignment horizontal="center" vertical="center" wrapText="1"/>
    </xf>
    <xf numFmtId="0" fontId="1" fillId="29" borderId="11" xfId="0" applyFont="1" applyFill="1" applyBorder="1" applyAlignment="1">
      <alignment horizontal="left" vertical="top" wrapText="1"/>
    </xf>
    <xf numFmtId="0" fontId="1" fillId="29" borderId="10" xfId="0" applyFont="1" applyFill="1" applyBorder="1" applyAlignment="1">
      <alignment horizontal="left" vertical="top" wrapText="1"/>
    </xf>
    <xf numFmtId="0" fontId="1" fillId="29" borderId="14" xfId="0" applyFont="1" applyFill="1" applyBorder="1" applyAlignment="1">
      <alignment horizontal="left" vertical="top" wrapText="1"/>
    </xf>
    <xf numFmtId="0" fontId="34" fillId="29" borderId="11" xfId="0" applyFont="1" applyFill="1" applyBorder="1" applyAlignment="1">
      <alignment horizontal="left" vertical="top" wrapText="1"/>
    </xf>
    <xf numFmtId="0" fontId="34" fillId="29" borderId="10" xfId="0" applyFont="1" applyFill="1" applyBorder="1" applyAlignment="1">
      <alignment horizontal="left" vertical="top" wrapText="1"/>
    </xf>
    <xf numFmtId="0" fontId="34" fillId="29" borderId="14" xfId="0" applyFont="1" applyFill="1" applyBorder="1" applyAlignment="1">
      <alignment horizontal="left" vertical="top" wrapText="1"/>
    </xf>
    <xf numFmtId="0" fontId="1" fillId="8" borderId="46" xfId="0" applyFont="1" applyFill="1" applyBorder="1" applyAlignment="1">
      <alignment horizontal="center" vertical="center" textRotation="90" wrapText="1"/>
    </xf>
    <xf numFmtId="0" fontId="1" fillId="8" borderId="34" xfId="0" applyFont="1" applyFill="1" applyBorder="1" applyAlignment="1">
      <alignment horizontal="center" vertical="center" textRotation="90" wrapText="1"/>
    </xf>
    <xf numFmtId="0" fontId="1" fillId="8" borderId="32" xfId="0" applyFont="1" applyFill="1" applyBorder="1" applyAlignment="1">
      <alignment horizontal="center" vertical="center" textRotation="90" wrapText="1"/>
    </xf>
    <xf numFmtId="0" fontId="37" fillId="29" borderId="10" xfId="0" applyFont="1" applyFill="1" applyBorder="1" applyAlignment="1">
      <alignment horizontal="center"/>
    </xf>
    <xf numFmtId="0" fontId="37" fillId="29" borderId="14" xfId="0" applyFont="1" applyFill="1" applyBorder="1" applyAlignment="1">
      <alignment horizontal="center"/>
    </xf>
    <xf numFmtId="0" fontId="37" fillId="29" borderId="11" xfId="0" applyFont="1" applyFill="1" applyBorder="1" applyAlignment="1">
      <alignment horizontal="center"/>
    </xf>
    <xf numFmtId="0" fontId="33" fillId="8" borderId="46" xfId="0" applyFont="1" applyFill="1" applyBorder="1" applyAlignment="1">
      <alignment horizontal="center" vertical="center" wrapText="1"/>
    </xf>
    <xf numFmtId="0" fontId="33" fillId="8" borderId="34" xfId="0" applyFont="1" applyFill="1" applyBorder="1" applyAlignment="1">
      <alignment horizontal="center" vertical="center" wrapText="1"/>
    </xf>
    <xf numFmtId="0" fontId="33" fillId="8" borderId="3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R42"/>
  <sheetViews>
    <sheetView tabSelected="1" view="pageBreakPreview" zoomScaleSheetLayoutView="100" zoomScalePageLayoutView="0" workbookViewId="0" topLeftCell="A2">
      <pane xSplit="2" ySplit="4" topLeftCell="D29" activePane="bottomRight" state="frozen"/>
      <selection pane="topLeft" activeCell="I31" sqref="I31"/>
      <selection pane="topRight" activeCell="I31" sqref="I31"/>
      <selection pane="bottomLeft" activeCell="I31" sqref="I31"/>
      <selection pane="bottomRight" activeCell="A2" sqref="A1:IV16384"/>
    </sheetView>
  </sheetViews>
  <sheetFormatPr defaultColWidth="9.140625" defaultRowHeight="15"/>
  <cols>
    <col min="1" max="1" width="5.140625" style="8" customWidth="1"/>
    <col min="2" max="2" width="41.8515625" style="0" customWidth="1"/>
    <col min="3" max="3" width="33.7109375" style="0" customWidth="1"/>
    <col min="4" max="4" width="11.7109375" style="0" customWidth="1"/>
    <col min="5" max="5" width="7.140625" style="2" customWidth="1"/>
    <col min="6" max="6" width="11.00390625" style="0" customWidth="1"/>
    <col min="7" max="7" width="11.7109375" style="0" bestFit="1" customWidth="1"/>
    <col min="8" max="8" width="12.421875" style="0" customWidth="1"/>
    <col min="9" max="9" width="12.00390625" style="0" customWidth="1"/>
    <col min="10" max="10" width="7.140625" style="2" customWidth="1"/>
    <col min="11" max="11" width="10.28125" style="0" customWidth="1"/>
    <col min="12" max="12" width="12.140625" style="0" bestFit="1" customWidth="1"/>
    <col min="13" max="13" width="12.421875" style="0" customWidth="1"/>
    <col min="14" max="14" width="14.00390625" style="7" customWidth="1"/>
  </cols>
  <sheetData>
    <row r="1" ht="6.75" customHeight="1" hidden="1" thickBot="1"/>
    <row r="2" spans="1:14" ht="23.25" customHeight="1" thickBot="1">
      <c r="A2" s="159" t="s">
        <v>58</v>
      </c>
      <c r="B2" s="163" t="s">
        <v>52</v>
      </c>
      <c r="C2" s="163" t="s">
        <v>51</v>
      </c>
      <c r="D2" s="145" t="s">
        <v>98</v>
      </c>
      <c r="E2" s="145"/>
      <c r="F2" s="145"/>
      <c r="G2" s="145"/>
      <c r="H2" s="146"/>
      <c r="I2" s="162" t="s">
        <v>99</v>
      </c>
      <c r="J2" s="145"/>
      <c r="K2" s="145"/>
      <c r="L2" s="145"/>
      <c r="M2" s="146"/>
      <c r="N2" s="168" t="s">
        <v>57</v>
      </c>
    </row>
    <row r="3" spans="1:14" ht="15" customHeight="1" thickBot="1">
      <c r="A3" s="160"/>
      <c r="B3" s="164"/>
      <c r="C3" s="164"/>
      <c r="D3" s="166" t="s">
        <v>50</v>
      </c>
      <c r="E3" s="171" t="s">
        <v>53</v>
      </c>
      <c r="F3" s="172"/>
      <c r="G3" s="173"/>
      <c r="H3" s="174" t="s">
        <v>91</v>
      </c>
      <c r="I3" s="166" t="s">
        <v>112</v>
      </c>
      <c r="J3" s="171" t="s">
        <v>53</v>
      </c>
      <c r="K3" s="172"/>
      <c r="L3" s="173"/>
      <c r="M3" s="174" t="s">
        <v>90</v>
      </c>
      <c r="N3" s="169"/>
    </row>
    <row r="4" spans="1:14" ht="29.25" customHeight="1" thickBot="1">
      <c r="A4" s="161"/>
      <c r="B4" s="165"/>
      <c r="C4" s="165"/>
      <c r="D4" s="167"/>
      <c r="E4" s="20" t="s">
        <v>54</v>
      </c>
      <c r="F4" s="21" t="s">
        <v>55</v>
      </c>
      <c r="G4" s="21" t="s">
        <v>56</v>
      </c>
      <c r="H4" s="175"/>
      <c r="I4" s="167"/>
      <c r="J4" s="20" t="s">
        <v>54</v>
      </c>
      <c r="K4" s="21" t="s">
        <v>55</v>
      </c>
      <c r="L4" s="21" t="s">
        <v>56</v>
      </c>
      <c r="M4" s="175"/>
      <c r="N4" s="170"/>
    </row>
    <row r="5" spans="1:14" ht="23.25" customHeight="1" thickBot="1">
      <c r="A5" s="156" t="s">
        <v>59</v>
      </c>
      <c r="B5" s="157"/>
      <c r="C5" s="157"/>
      <c r="D5" s="157"/>
      <c r="E5" s="157"/>
      <c r="F5" s="157"/>
      <c r="G5" s="157"/>
      <c r="H5" s="157"/>
      <c r="I5" s="157"/>
      <c r="J5" s="157"/>
      <c r="K5" s="157"/>
      <c r="L5" s="157"/>
      <c r="M5" s="157"/>
      <c r="N5" s="158"/>
    </row>
    <row r="6" spans="1:14" ht="76.5">
      <c r="A6" s="29" t="s">
        <v>4</v>
      </c>
      <c r="B6" s="50" t="s">
        <v>113</v>
      </c>
      <c r="C6" s="48" t="s">
        <v>85</v>
      </c>
      <c r="D6" s="9">
        <v>0</v>
      </c>
      <c r="E6" s="10">
        <v>20</v>
      </c>
      <c r="F6" s="17">
        <v>50000</v>
      </c>
      <c r="G6" s="32">
        <f aca="true" t="shared" si="0" ref="G6:G17">E6*F6</f>
        <v>1000000</v>
      </c>
      <c r="H6" s="18">
        <f aca="true" t="shared" si="1" ref="H6:H17">SUM(D6,G6)</f>
        <v>1000000</v>
      </c>
      <c r="I6" s="9">
        <v>0</v>
      </c>
      <c r="J6" s="10">
        <v>20</v>
      </c>
      <c r="K6" s="17">
        <v>50000</v>
      </c>
      <c r="L6" s="32">
        <f aca="true" t="shared" si="2" ref="L6:L17">J6*K6</f>
        <v>1000000</v>
      </c>
      <c r="M6" s="18">
        <f aca="true" t="shared" si="3" ref="M6:M17">SUM(I6,L6)</f>
        <v>1000000</v>
      </c>
      <c r="N6" s="19">
        <f aca="true" t="shared" si="4" ref="N6:N17">SUM(M6,H6)</f>
        <v>2000000</v>
      </c>
    </row>
    <row r="7" spans="1:15" ht="38.25">
      <c r="A7" s="30" t="s">
        <v>5</v>
      </c>
      <c r="B7" s="50" t="s">
        <v>114</v>
      </c>
      <c r="C7" s="48" t="s">
        <v>86</v>
      </c>
      <c r="D7" s="9">
        <v>0</v>
      </c>
      <c r="E7" s="10">
        <v>75</v>
      </c>
      <c r="F7" s="9">
        <v>80000</v>
      </c>
      <c r="G7" s="33">
        <f t="shared" si="0"/>
        <v>6000000</v>
      </c>
      <c r="H7" s="18">
        <f t="shared" si="1"/>
        <v>6000000</v>
      </c>
      <c r="I7" s="9">
        <v>0</v>
      </c>
      <c r="J7" s="28">
        <v>225</v>
      </c>
      <c r="K7" s="9">
        <v>80000</v>
      </c>
      <c r="L7" s="33">
        <f t="shared" si="2"/>
        <v>18000000</v>
      </c>
      <c r="M7" s="11">
        <f t="shared" si="3"/>
        <v>18000000</v>
      </c>
      <c r="N7" s="12">
        <f t="shared" si="4"/>
        <v>24000000</v>
      </c>
      <c r="O7">
        <f>E7+J7</f>
        <v>300</v>
      </c>
    </row>
    <row r="8" spans="1:15" ht="38.25">
      <c r="A8" s="30" t="s">
        <v>6</v>
      </c>
      <c r="B8" s="50" t="s">
        <v>149</v>
      </c>
      <c r="C8" s="48" t="s">
        <v>86</v>
      </c>
      <c r="D8" s="9">
        <v>0</v>
      </c>
      <c r="E8" s="10">
        <v>225</v>
      </c>
      <c r="F8" s="9">
        <v>47500</v>
      </c>
      <c r="G8" s="33">
        <f t="shared" si="0"/>
        <v>10687500</v>
      </c>
      <c r="H8" s="18">
        <f t="shared" si="1"/>
        <v>10687500</v>
      </c>
      <c r="I8" s="9">
        <v>0</v>
      </c>
      <c r="J8" s="28">
        <v>900</v>
      </c>
      <c r="K8" s="9">
        <v>47500</v>
      </c>
      <c r="L8" s="33">
        <f t="shared" si="2"/>
        <v>42750000</v>
      </c>
      <c r="M8" s="11">
        <f t="shared" si="3"/>
        <v>42750000</v>
      </c>
      <c r="N8" s="12">
        <f t="shared" si="4"/>
        <v>53437500</v>
      </c>
      <c r="O8">
        <f>E8+J8</f>
        <v>1125</v>
      </c>
    </row>
    <row r="9" spans="1:14" ht="38.25">
      <c r="A9" s="30" t="s">
        <v>7</v>
      </c>
      <c r="B9" s="50" t="s">
        <v>115</v>
      </c>
      <c r="C9" s="56" t="s">
        <v>87</v>
      </c>
      <c r="D9" s="9">
        <v>0</v>
      </c>
      <c r="E9" s="10">
        <v>0</v>
      </c>
      <c r="F9" s="9">
        <v>0</v>
      </c>
      <c r="G9" s="33">
        <f t="shared" si="0"/>
        <v>0</v>
      </c>
      <c r="H9" s="18">
        <f t="shared" si="1"/>
        <v>0</v>
      </c>
      <c r="I9" s="9">
        <v>0</v>
      </c>
      <c r="J9" s="10">
        <v>0</v>
      </c>
      <c r="K9" s="9">
        <v>0</v>
      </c>
      <c r="L9" s="33">
        <f t="shared" si="2"/>
        <v>0</v>
      </c>
      <c r="M9" s="11">
        <f t="shared" si="3"/>
        <v>0</v>
      </c>
      <c r="N9" s="12">
        <f t="shared" si="4"/>
        <v>0</v>
      </c>
    </row>
    <row r="10" spans="1:14" ht="51">
      <c r="A10" s="30" t="s">
        <v>8</v>
      </c>
      <c r="B10" s="50" t="s">
        <v>116</v>
      </c>
      <c r="C10" s="48" t="s">
        <v>88</v>
      </c>
      <c r="D10" s="9">
        <v>600000</v>
      </c>
      <c r="E10" s="10">
        <v>0</v>
      </c>
      <c r="F10" s="9">
        <v>0</v>
      </c>
      <c r="G10" s="33">
        <f>E10*F10</f>
        <v>0</v>
      </c>
      <c r="H10" s="18">
        <f>SUM(D10,G10)</f>
        <v>600000</v>
      </c>
      <c r="I10" s="9">
        <v>300000</v>
      </c>
      <c r="J10" s="10">
        <v>0</v>
      </c>
      <c r="K10" s="9">
        <v>0</v>
      </c>
      <c r="L10" s="33">
        <f>J10*K10</f>
        <v>0</v>
      </c>
      <c r="M10" s="11">
        <f>SUM(I10,L10)</f>
        <v>300000</v>
      </c>
      <c r="N10" s="12">
        <f>SUM(M10,H10)</f>
        <v>900000</v>
      </c>
    </row>
    <row r="11" spans="1:14" ht="25.5">
      <c r="A11" s="30" t="s">
        <v>9</v>
      </c>
      <c r="B11" s="50" t="s">
        <v>117</v>
      </c>
      <c r="C11" s="48" t="s">
        <v>85</v>
      </c>
      <c r="D11" s="9">
        <v>1500000</v>
      </c>
      <c r="E11" s="10">
        <v>0</v>
      </c>
      <c r="F11" s="9">
        <v>0</v>
      </c>
      <c r="G11" s="33">
        <f t="shared" si="0"/>
        <v>0</v>
      </c>
      <c r="H11" s="11">
        <f t="shared" si="1"/>
        <v>1500000</v>
      </c>
      <c r="I11" s="9">
        <v>0</v>
      </c>
      <c r="J11" s="10">
        <v>0</v>
      </c>
      <c r="K11" s="9">
        <v>0</v>
      </c>
      <c r="L11" s="33">
        <f t="shared" si="2"/>
        <v>0</v>
      </c>
      <c r="M11" s="11">
        <f t="shared" si="3"/>
        <v>0</v>
      </c>
      <c r="N11" s="12">
        <f t="shared" si="4"/>
        <v>1500000</v>
      </c>
    </row>
    <row r="12" spans="1:14" ht="51">
      <c r="A12" s="30" t="s">
        <v>10</v>
      </c>
      <c r="B12" s="50" t="s">
        <v>118</v>
      </c>
      <c r="C12" s="48" t="s">
        <v>85</v>
      </c>
      <c r="D12" s="9">
        <v>300000</v>
      </c>
      <c r="E12" s="10">
        <v>0</v>
      </c>
      <c r="F12" s="9">
        <v>0</v>
      </c>
      <c r="G12" s="33">
        <f t="shared" si="0"/>
        <v>0</v>
      </c>
      <c r="H12" s="18">
        <f t="shared" si="1"/>
        <v>300000</v>
      </c>
      <c r="I12" s="9">
        <v>0</v>
      </c>
      <c r="J12" s="10">
        <v>0</v>
      </c>
      <c r="K12" s="9">
        <v>0</v>
      </c>
      <c r="L12" s="33">
        <f t="shared" si="2"/>
        <v>0</v>
      </c>
      <c r="M12" s="11">
        <f t="shared" si="3"/>
        <v>0</v>
      </c>
      <c r="N12" s="12">
        <f t="shared" si="4"/>
        <v>300000</v>
      </c>
    </row>
    <row r="13" spans="1:14" ht="114.75">
      <c r="A13" s="30" t="s">
        <v>11</v>
      </c>
      <c r="B13" s="50" t="s">
        <v>119</v>
      </c>
      <c r="C13" s="48" t="s">
        <v>89</v>
      </c>
      <c r="D13" s="9">
        <v>750000</v>
      </c>
      <c r="E13" s="10">
        <v>0</v>
      </c>
      <c r="F13" s="9">
        <v>0</v>
      </c>
      <c r="G13" s="33">
        <f t="shared" si="0"/>
        <v>0</v>
      </c>
      <c r="H13" s="11">
        <f t="shared" si="1"/>
        <v>750000</v>
      </c>
      <c r="I13" s="9">
        <v>400000</v>
      </c>
      <c r="J13" s="10">
        <v>0</v>
      </c>
      <c r="K13" s="9">
        <v>0</v>
      </c>
      <c r="L13" s="33">
        <f t="shared" si="2"/>
        <v>0</v>
      </c>
      <c r="M13" s="11">
        <f t="shared" si="3"/>
        <v>400000</v>
      </c>
      <c r="N13" s="12">
        <f t="shared" si="4"/>
        <v>1150000</v>
      </c>
    </row>
    <row r="14" spans="1:14" ht="51">
      <c r="A14" s="30" t="s">
        <v>12</v>
      </c>
      <c r="B14" s="50" t="s">
        <v>97</v>
      </c>
      <c r="C14" s="56" t="s">
        <v>81</v>
      </c>
      <c r="D14" s="9">
        <v>0</v>
      </c>
      <c r="E14" s="10">
        <v>0</v>
      </c>
      <c r="F14" s="9">
        <v>0</v>
      </c>
      <c r="G14" s="33">
        <f>E14*F14</f>
        <v>0</v>
      </c>
      <c r="H14" s="11">
        <f>SUM(D14,G14)</f>
        <v>0</v>
      </c>
      <c r="I14" s="9">
        <v>0</v>
      </c>
      <c r="J14" s="10">
        <v>0</v>
      </c>
      <c r="K14" s="9">
        <v>0</v>
      </c>
      <c r="L14" s="33">
        <f>J14*K14</f>
        <v>0</v>
      </c>
      <c r="M14" s="11">
        <f>SUM(I14,L14)</f>
        <v>0</v>
      </c>
      <c r="N14" s="12">
        <f>SUM(M14,H14)</f>
        <v>0</v>
      </c>
    </row>
    <row r="15" spans="1:14" ht="51">
      <c r="A15" s="30" t="s">
        <v>13</v>
      </c>
      <c r="B15" s="50" t="s">
        <v>120</v>
      </c>
      <c r="C15" s="48" t="s">
        <v>100</v>
      </c>
      <c r="D15" s="9">
        <v>400000</v>
      </c>
      <c r="E15" s="10">
        <v>0</v>
      </c>
      <c r="F15" s="9">
        <v>0</v>
      </c>
      <c r="G15" s="33">
        <f>E15*F15</f>
        <v>0</v>
      </c>
      <c r="H15" s="11">
        <f>SUM(D15,G15)</f>
        <v>400000</v>
      </c>
      <c r="I15" s="9">
        <v>0</v>
      </c>
      <c r="J15" s="10">
        <v>0</v>
      </c>
      <c r="K15" s="9">
        <v>0</v>
      </c>
      <c r="L15" s="33">
        <f>J15*K15</f>
        <v>0</v>
      </c>
      <c r="M15" s="11">
        <f>SUM(I15,L15)</f>
        <v>0</v>
      </c>
      <c r="N15" s="12">
        <f>SUM(M15,H15)</f>
        <v>400000</v>
      </c>
    </row>
    <row r="16" spans="1:14" ht="63.75">
      <c r="A16" s="30" t="s">
        <v>14</v>
      </c>
      <c r="B16" s="50" t="s">
        <v>121</v>
      </c>
      <c r="C16" s="48" t="s">
        <v>83</v>
      </c>
      <c r="D16" s="9">
        <v>1500000</v>
      </c>
      <c r="E16" s="10">
        <v>0</v>
      </c>
      <c r="F16" s="9">
        <v>0</v>
      </c>
      <c r="G16" s="33">
        <f t="shared" si="0"/>
        <v>0</v>
      </c>
      <c r="H16" s="11">
        <f t="shared" si="1"/>
        <v>1500000</v>
      </c>
      <c r="I16" s="9">
        <v>0</v>
      </c>
      <c r="J16" s="10">
        <v>0</v>
      </c>
      <c r="K16" s="9">
        <v>0</v>
      </c>
      <c r="L16" s="33">
        <f t="shared" si="2"/>
        <v>0</v>
      </c>
      <c r="M16" s="11">
        <f t="shared" si="3"/>
        <v>0</v>
      </c>
      <c r="N16" s="12">
        <f t="shared" si="4"/>
        <v>1500000</v>
      </c>
    </row>
    <row r="17" spans="1:18" ht="77.25" thickBot="1">
      <c r="A17" s="30" t="s">
        <v>148</v>
      </c>
      <c r="B17" s="50" t="s">
        <v>122</v>
      </c>
      <c r="C17" s="72" t="s">
        <v>84</v>
      </c>
      <c r="D17" s="73">
        <v>0</v>
      </c>
      <c r="E17" s="74">
        <v>300</v>
      </c>
      <c r="F17" s="73">
        <v>10000</v>
      </c>
      <c r="G17" s="75">
        <f t="shared" si="0"/>
        <v>3000000</v>
      </c>
      <c r="H17" s="76">
        <f t="shared" si="1"/>
        <v>3000000</v>
      </c>
      <c r="I17" s="73">
        <v>0</v>
      </c>
      <c r="J17" s="74">
        <v>1125</v>
      </c>
      <c r="K17" s="73">
        <v>10000</v>
      </c>
      <c r="L17" s="75">
        <f t="shared" si="2"/>
        <v>11250000</v>
      </c>
      <c r="M17" s="76">
        <f t="shared" si="3"/>
        <v>11250000</v>
      </c>
      <c r="N17" s="77">
        <f t="shared" si="4"/>
        <v>14250000</v>
      </c>
      <c r="O17">
        <f>E17+J17</f>
        <v>1425</v>
      </c>
      <c r="Q17">
        <v>280</v>
      </c>
      <c r="R17">
        <v>1050</v>
      </c>
    </row>
    <row r="18" spans="1:14" ht="18.75" customHeight="1" thickBot="1">
      <c r="A18" s="43"/>
      <c r="B18" s="47" t="s">
        <v>92</v>
      </c>
      <c r="C18" s="44"/>
      <c r="D18" s="44">
        <f>SUM(D6:D17)</f>
        <v>5050000</v>
      </c>
      <c r="E18" s="45">
        <f>SUM(E6:E17)</f>
        <v>620</v>
      </c>
      <c r="F18" s="46"/>
      <c r="G18" s="44">
        <f>SUM(G6:G17)</f>
        <v>20687500</v>
      </c>
      <c r="H18" s="44">
        <f>SUM(H6:H17)</f>
        <v>25737500</v>
      </c>
      <c r="I18" s="44">
        <f>SUM(I6:I17)</f>
        <v>700000</v>
      </c>
      <c r="J18" s="45">
        <f>SUM(J6:J17)</f>
        <v>2270</v>
      </c>
      <c r="K18" s="46"/>
      <c r="L18" s="44">
        <f>SUM(L6:L17)</f>
        <v>73000000</v>
      </c>
      <c r="M18" s="44">
        <f>SUM(M6:M17)</f>
        <v>73700000</v>
      </c>
      <c r="N18" s="22">
        <f>SUM(N6:N17)</f>
        <v>99437500</v>
      </c>
    </row>
    <row r="19" spans="1:14" ht="16.5" customHeight="1" hidden="1" thickBot="1">
      <c r="A19" s="35"/>
      <c r="B19" s="36"/>
      <c r="C19" s="36"/>
      <c r="D19" s="36"/>
      <c r="E19" s="37"/>
      <c r="F19" s="36"/>
      <c r="G19" s="36"/>
      <c r="H19" s="36"/>
      <c r="I19" s="36"/>
      <c r="J19" s="37"/>
      <c r="K19" s="36"/>
      <c r="L19" s="36"/>
      <c r="M19" s="36"/>
      <c r="N19" s="38"/>
    </row>
    <row r="20" spans="1:14" ht="32.25" customHeight="1" thickBot="1">
      <c r="A20" s="156" t="s">
        <v>60</v>
      </c>
      <c r="B20" s="157"/>
      <c r="C20" s="157"/>
      <c r="D20" s="157"/>
      <c r="E20" s="157"/>
      <c r="F20" s="157"/>
      <c r="G20" s="157"/>
      <c r="H20" s="157"/>
      <c r="I20" s="157"/>
      <c r="J20" s="157"/>
      <c r="K20" s="157"/>
      <c r="L20" s="157"/>
      <c r="M20" s="157"/>
      <c r="N20" s="158"/>
    </row>
    <row r="21" spans="1:18" ht="89.25">
      <c r="A21" s="34" t="s">
        <v>15</v>
      </c>
      <c r="B21" s="50" t="s">
        <v>123</v>
      </c>
      <c r="C21" s="48" t="s">
        <v>78</v>
      </c>
      <c r="D21" s="9">
        <v>0</v>
      </c>
      <c r="E21" s="10">
        <v>15</v>
      </c>
      <c r="F21" s="9">
        <v>500000</v>
      </c>
      <c r="G21" s="33">
        <f aca="true" t="shared" si="5" ref="G21:G30">E21*F21</f>
        <v>7500000</v>
      </c>
      <c r="H21" s="11">
        <f aca="true" t="shared" si="6" ref="H21:H30">SUM(D21,G21)</f>
        <v>7500000</v>
      </c>
      <c r="I21" s="9">
        <v>0</v>
      </c>
      <c r="J21" s="28">
        <v>15</v>
      </c>
      <c r="K21" s="9">
        <v>500000</v>
      </c>
      <c r="L21" s="33">
        <f aca="true" t="shared" si="7" ref="L21:L30">J21*K21</f>
        <v>7500000</v>
      </c>
      <c r="M21" s="11">
        <f aca="true" t="shared" si="8" ref="M21:M30">SUM(I21,L21)</f>
        <v>7500000</v>
      </c>
      <c r="N21" s="12">
        <f aca="true" t="shared" si="9" ref="N21:N30">SUM(M21,H21)</f>
        <v>15000000</v>
      </c>
      <c r="O21">
        <f>E21+J21</f>
        <v>30</v>
      </c>
      <c r="Q21">
        <v>14</v>
      </c>
      <c r="R21">
        <v>14</v>
      </c>
    </row>
    <row r="22" spans="1:14" ht="25.5">
      <c r="A22" s="34" t="s">
        <v>16</v>
      </c>
      <c r="B22" s="50" t="s">
        <v>46</v>
      </c>
      <c r="C22" s="56" t="s">
        <v>79</v>
      </c>
      <c r="D22" s="9">
        <v>0</v>
      </c>
      <c r="E22" s="10">
        <v>0</v>
      </c>
      <c r="F22" s="9">
        <v>0</v>
      </c>
      <c r="G22" s="32">
        <f t="shared" si="5"/>
        <v>0</v>
      </c>
      <c r="H22" s="18">
        <f t="shared" si="6"/>
        <v>0</v>
      </c>
      <c r="I22" s="9">
        <v>0</v>
      </c>
      <c r="J22" s="10">
        <v>0</v>
      </c>
      <c r="K22" s="9">
        <v>0</v>
      </c>
      <c r="L22" s="32">
        <f t="shared" si="7"/>
        <v>0</v>
      </c>
      <c r="M22" s="18">
        <f t="shared" si="8"/>
        <v>0</v>
      </c>
      <c r="N22" s="19">
        <f t="shared" si="9"/>
        <v>0</v>
      </c>
    </row>
    <row r="23" spans="1:14" ht="51">
      <c r="A23" s="34" t="s">
        <v>17</v>
      </c>
      <c r="B23" s="50" t="s">
        <v>124</v>
      </c>
      <c r="C23" s="56" t="s">
        <v>79</v>
      </c>
      <c r="D23" s="9">
        <v>0</v>
      </c>
      <c r="E23" s="10">
        <v>0</v>
      </c>
      <c r="F23" s="9">
        <v>0</v>
      </c>
      <c r="G23" s="33">
        <f t="shared" si="5"/>
        <v>0</v>
      </c>
      <c r="H23" s="18">
        <f t="shared" si="6"/>
        <v>0</v>
      </c>
      <c r="I23" s="9">
        <v>0</v>
      </c>
      <c r="J23" s="10">
        <v>0</v>
      </c>
      <c r="K23" s="9">
        <v>0</v>
      </c>
      <c r="L23" s="33">
        <f t="shared" si="7"/>
        <v>0</v>
      </c>
      <c r="M23" s="11">
        <f t="shared" si="8"/>
        <v>0</v>
      </c>
      <c r="N23" s="12">
        <f t="shared" si="9"/>
        <v>0</v>
      </c>
    </row>
    <row r="24" spans="1:14" ht="25.5">
      <c r="A24" s="34" t="s">
        <v>18</v>
      </c>
      <c r="B24" s="50" t="s">
        <v>47</v>
      </c>
      <c r="C24" s="56" t="s">
        <v>79</v>
      </c>
      <c r="D24" s="9">
        <v>0</v>
      </c>
      <c r="E24" s="10">
        <v>0</v>
      </c>
      <c r="F24" s="9">
        <v>0</v>
      </c>
      <c r="G24" s="33">
        <f>E24*F24</f>
        <v>0</v>
      </c>
      <c r="H24" s="18">
        <f>SUM(D24,G24)</f>
        <v>0</v>
      </c>
      <c r="I24" s="9">
        <v>0</v>
      </c>
      <c r="J24" s="10">
        <v>0</v>
      </c>
      <c r="K24" s="9">
        <v>0</v>
      </c>
      <c r="L24" s="33">
        <f t="shared" si="7"/>
        <v>0</v>
      </c>
      <c r="M24" s="11">
        <f t="shared" si="8"/>
        <v>0</v>
      </c>
      <c r="N24" s="12">
        <f t="shared" si="9"/>
        <v>0</v>
      </c>
    </row>
    <row r="25" spans="1:14" ht="63.75">
      <c r="A25" s="34" t="s">
        <v>19</v>
      </c>
      <c r="B25" s="50" t="s">
        <v>48</v>
      </c>
      <c r="C25" s="48" t="s">
        <v>80</v>
      </c>
      <c r="D25" s="9">
        <v>700000</v>
      </c>
      <c r="E25" s="9"/>
      <c r="F25" s="9">
        <v>0</v>
      </c>
      <c r="G25" s="33">
        <f t="shared" si="5"/>
        <v>0</v>
      </c>
      <c r="H25" s="18">
        <f t="shared" si="6"/>
        <v>700000</v>
      </c>
      <c r="I25" s="9">
        <v>700000</v>
      </c>
      <c r="J25" s="10">
        <v>0</v>
      </c>
      <c r="K25" s="9">
        <v>0</v>
      </c>
      <c r="L25" s="33">
        <f t="shared" si="7"/>
        <v>0</v>
      </c>
      <c r="M25" s="11">
        <f t="shared" si="8"/>
        <v>700000</v>
      </c>
      <c r="N25" s="12">
        <f t="shared" si="9"/>
        <v>1400000</v>
      </c>
    </row>
    <row r="26" spans="1:14" ht="63.75">
      <c r="A26" s="34" t="s">
        <v>20</v>
      </c>
      <c r="B26" s="50" t="s">
        <v>125</v>
      </c>
      <c r="C26" s="48" t="s">
        <v>80</v>
      </c>
      <c r="D26" s="9">
        <v>700000</v>
      </c>
      <c r="E26" s="10">
        <v>0</v>
      </c>
      <c r="F26" s="9">
        <v>0</v>
      </c>
      <c r="G26" s="33">
        <f t="shared" si="5"/>
        <v>0</v>
      </c>
      <c r="H26" s="11">
        <f t="shared" si="6"/>
        <v>700000</v>
      </c>
      <c r="I26" s="9">
        <v>700000</v>
      </c>
      <c r="J26" s="10">
        <v>0</v>
      </c>
      <c r="K26" s="9">
        <v>0</v>
      </c>
      <c r="L26" s="33">
        <f t="shared" si="7"/>
        <v>0</v>
      </c>
      <c r="M26" s="11">
        <f t="shared" si="8"/>
        <v>700000</v>
      </c>
      <c r="N26" s="12">
        <f t="shared" si="9"/>
        <v>1400000</v>
      </c>
    </row>
    <row r="27" spans="1:14" ht="51">
      <c r="A27" s="34" t="s">
        <v>21</v>
      </c>
      <c r="B27" s="112" t="s">
        <v>126</v>
      </c>
      <c r="C27" s="48" t="s">
        <v>85</v>
      </c>
      <c r="D27" s="9">
        <f>1500000/8*14</f>
        <v>2625000</v>
      </c>
      <c r="E27" s="10">
        <v>0</v>
      </c>
      <c r="F27" s="9">
        <v>0</v>
      </c>
      <c r="G27" s="33">
        <f>E27*F27</f>
        <v>0</v>
      </c>
      <c r="H27" s="11">
        <f>SUM(D27,G27)</f>
        <v>2625000</v>
      </c>
      <c r="I27" s="9">
        <f>D27/3</f>
        <v>875000</v>
      </c>
      <c r="J27" s="10">
        <v>0</v>
      </c>
      <c r="K27" s="9">
        <v>0</v>
      </c>
      <c r="L27" s="33">
        <f>J27*K27</f>
        <v>0</v>
      </c>
      <c r="M27" s="11">
        <f>SUM(I27,L27)</f>
        <v>875000</v>
      </c>
      <c r="N27" s="12">
        <f>SUM(M27,H27)</f>
        <v>3500000</v>
      </c>
    </row>
    <row r="28" spans="1:18" ht="51">
      <c r="A28" s="34" t="s">
        <v>22</v>
      </c>
      <c r="B28" s="112" t="s">
        <v>127</v>
      </c>
      <c r="C28" s="48" t="s">
        <v>100</v>
      </c>
      <c r="D28" s="9">
        <v>0</v>
      </c>
      <c r="E28" s="10">
        <v>15</v>
      </c>
      <c r="F28" s="9">
        <v>150000</v>
      </c>
      <c r="G28" s="33">
        <f>E28*F28</f>
        <v>2250000</v>
      </c>
      <c r="H28" s="11">
        <f>SUM(D28,G28)</f>
        <v>2250000</v>
      </c>
      <c r="I28" s="9">
        <v>0</v>
      </c>
      <c r="J28" s="28">
        <v>15</v>
      </c>
      <c r="K28" s="9">
        <v>150000</v>
      </c>
      <c r="L28" s="33">
        <f>J28*K28</f>
        <v>2250000</v>
      </c>
      <c r="M28" s="11">
        <f>SUM(I28,L28)</f>
        <v>2250000</v>
      </c>
      <c r="N28" s="12">
        <f>SUM(M28,H28)</f>
        <v>4500000</v>
      </c>
      <c r="Q28">
        <v>14</v>
      </c>
      <c r="R28">
        <v>14</v>
      </c>
    </row>
    <row r="29" spans="1:14" ht="63.75">
      <c r="A29" s="34" t="s">
        <v>23</v>
      </c>
      <c r="B29" s="50" t="s">
        <v>82</v>
      </c>
      <c r="C29" s="48" t="s">
        <v>83</v>
      </c>
      <c r="D29" s="9">
        <v>0</v>
      </c>
      <c r="E29" s="10">
        <v>36</v>
      </c>
      <c r="F29" s="9">
        <v>25000</v>
      </c>
      <c r="G29" s="33">
        <f t="shared" si="5"/>
        <v>900000</v>
      </c>
      <c r="H29" s="11">
        <f t="shared" si="6"/>
        <v>900000</v>
      </c>
      <c r="I29" s="9">
        <v>0</v>
      </c>
      <c r="J29" s="10">
        <v>72</v>
      </c>
      <c r="K29" s="9">
        <v>25000</v>
      </c>
      <c r="L29" s="33">
        <f t="shared" si="7"/>
        <v>1800000</v>
      </c>
      <c r="M29" s="11">
        <f t="shared" si="8"/>
        <v>1800000</v>
      </c>
      <c r="N29" s="12">
        <f t="shared" si="9"/>
        <v>2700000</v>
      </c>
    </row>
    <row r="30" spans="1:14" ht="77.25" thickBot="1">
      <c r="A30" s="34" t="s">
        <v>101</v>
      </c>
      <c r="B30" s="50" t="s">
        <v>49</v>
      </c>
      <c r="C30" s="48" t="s">
        <v>84</v>
      </c>
      <c r="D30" s="9">
        <v>1500000</v>
      </c>
      <c r="E30" s="10">
        <v>0</v>
      </c>
      <c r="F30" s="9">
        <v>0</v>
      </c>
      <c r="G30" s="33">
        <f t="shared" si="5"/>
        <v>0</v>
      </c>
      <c r="H30" s="11">
        <f t="shared" si="6"/>
        <v>1500000</v>
      </c>
      <c r="I30" s="9">
        <v>3000000</v>
      </c>
      <c r="J30" s="10">
        <v>0</v>
      </c>
      <c r="K30" s="9">
        <v>0</v>
      </c>
      <c r="L30" s="33">
        <f t="shared" si="7"/>
        <v>0</v>
      </c>
      <c r="M30" s="11">
        <f t="shared" si="8"/>
        <v>3000000</v>
      </c>
      <c r="N30" s="12">
        <f t="shared" si="9"/>
        <v>4500000</v>
      </c>
    </row>
    <row r="31" spans="1:14" ht="18.75" customHeight="1" thickBot="1">
      <c r="A31" s="43"/>
      <c r="B31" s="47" t="s">
        <v>93</v>
      </c>
      <c r="C31" s="44"/>
      <c r="D31" s="44">
        <f>SUM(D21:D30)</f>
        <v>5525000</v>
      </c>
      <c r="E31" s="45">
        <f>SUM(E21:E30)</f>
        <v>66</v>
      </c>
      <c r="F31" s="46"/>
      <c r="G31" s="44">
        <f>SUM(G21:G30)</f>
        <v>10650000</v>
      </c>
      <c r="H31" s="44">
        <f>SUM(H21:H30)</f>
        <v>16175000</v>
      </c>
      <c r="I31" s="44">
        <f>SUM(I21:I30)</f>
        <v>5275000</v>
      </c>
      <c r="J31" s="45">
        <f>SUM(J21:J30)</f>
        <v>102</v>
      </c>
      <c r="K31" s="46"/>
      <c r="L31" s="44">
        <f>SUM(L21:L30)</f>
        <v>11550000</v>
      </c>
      <c r="M31" s="44">
        <f>SUM(M21:M30)</f>
        <v>16825000</v>
      </c>
      <c r="N31" s="22">
        <f>SUM(N21:N30)</f>
        <v>33000000</v>
      </c>
    </row>
    <row r="32" spans="1:14" ht="16.5" customHeight="1" hidden="1" thickBot="1">
      <c r="A32" s="35"/>
      <c r="B32" s="36"/>
      <c r="C32" s="36"/>
      <c r="D32" s="36"/>
      <c r="E32" s="37"/>
      <c r="F32" s="36"/>
      <c r="G32" s="36"/>
      <c r="H32" s="36"/>
      <c r="I32" s="36"/>
      <c r="J32" s="37"/>
      <c r="K32" s="36"/>
      <c r="L32" s="36"/>
      <c r="M32" s="36"/>
      <c r="N32" s="38"/>
    </row>
    <row r="33" spans="1:14" ht="27.75" customHeight="1" thickBot="1">
      <c r="A33" s="156" t="s">
        <v>63</v>
      </c>
      <c r="B33" s="157"/>
      <c r="C33" s="157"/>
      <c r="D33" s="157"/>
      <c r="E33" s="157"/>
      <c r="F33" s="157"/>
      <c r="G33" s="157"/>
      <c r="H33" s="157"/>
      <c r="I33" s="157"/>
      <c r="J33" s="157"/>
      <c r="K33" s="157"/>
      <c r="L33" s="157"/>
      <c r="M33" s="157"/>
      <c r="N33" s="158"/>
    </row>
    <row r="34" spans="1:14" ht="47.25" customHeight="1">
      <c r="A34" s="23"/>
      <c r="B34" s="57" t="s">
        <v>73</v>
      </c>
      <c r="C34" s="49" t="s">
        <v>74</v>
      </c>
      <c r="D34" s="27">
        <v>2000000</v>
      </c>
      <c r="E34" s="28">
        <v>0</v>
      </c>
      <c r="F34" s="9">
        <v>0</v>
      </c>
      <c r="G34" s="24">
        <f>E34*F34</f>
        <v>0</v>
      </c>
      <c r="H34" s="25">
        <f>SUM(D34,G34)</f>
        <v>2000000</v>
      </c>
      <c r="I34" s="27">
        <v>1000000</v>
      </c>
      <c r="J34" s="28">
        <v>0</v>
      </c>
      <c r="K34" s="9">
        <v>0</v>
      </c>
      <c r="L34" s="24">
        <f>J34*K34</f>
        <v>0</v>
      </c>
      <c r="M34" s="25">
        <f>SUM(I34,L34)</f>
        <v>1000000</v>
      </c>
      <c r="N34" s="12">
        <f>SUM(M34,H34)</f>
        <v>3000000</v>
      </c>
    </row>
    <row r="35" spans="1:18" ht="47.25" customHeight="1">
      <c r="A35" s="23"/>
      <c r="B35" s="57" t="s">
        <v>69</v>
      </c>
      <c r="C35" s="49" t="s">
        <v>75</v>
      </c>
      <c r="D35" s="9">
        <v>0</v>
      </c>
      <c r="E35" s="10">
        <v>15</v>
      </c>
      <c r="F35" s="27">
        <v>150000</v>
      </c>
      <c r="G35" s="24">
        <f>E35*F35</f>
        <v>2250000</v>
      </c>
      <c r="H35" s="25">
        <f>SUM(D35,G35)</f>
        <v>2250000</v>
      </c>
      <c r="I35" s="27">
        <v>0</v>
      </c>
      <c r="J35" s="28">
        <v>15</v>
      </c>
      <c r="K35" s="27">
        <v>150000</v>
      </c>
      <c r="L35" s="24">
        <f>J35*K35</f>
        <v>2250000</v>
      </c>
      <c r="M35" s="25">
        <f>SUM(I35,L35)</f>
        <v>2250000</v>
      </c>
      <c r="N35" s="12">
        <f>SUM(M35,H35)</f>
        <v>4500000</v>
      </c>
      <c r="Q35">
        <v>14</v>
      </c>
      <c r="R35">
        <v>14</v>
      </c>
    </row>
    <row r="36" spans="1:14" ht="47.25" customHeight="1">
      <c r="A36" s="23"/>
      <c r="B36" s="57" t="s">
        <v>61</v>
      </c>
      <c r="C36" s="49" t="s">
        <v>76</v>
      </c>
      <c r="D36" s="27">
        <v>700000</v>
      </c>
      <c r="E36" s="28">
        <v>0</v>
      </c>
      <c r="F36" s="9">
        <v>0</v>
      </c>
      <c r="G36" s="24">
        <f>E36*F36</f>
        <v>0</v>
      </c>
      <c r="H36" s="25">
        <f>SUM(D36,G36)</f>
        <v>700000</v>
      </c>
      <c r="I36" s="27">
        <v>400000</v>
      </c>
      <c r="J36" s="28">
        <v>0</v>
      </c>
      <c r="K36" s="9">
        <v>0</v>
      </c>
      <c r="L36" s="24">
        <f>J36*K36</f>
        <v>0</v>
      </c>
      <c r="M36" s="25">
        <f>SUM(I36,L36)</f>
        <v>400000</v>
      </c>
      <c r="N36" s="12">
        <f>SUM(M36,H36)</f>
        <v>1100000</v>
      </c>
    </row>
    <row r="37" spans="1:14" ht="47.25" customHeight="1" thickBot="1">
      <c r="A37" s="23"/>
      <c r="B37" s="57" t="s">
        <v>62</v>
      </c>
      <c r="C37" s="49" t="s">
        <v>77</v>
      </c>
      <c r="D37" s="27">
        <v>500000</v>
      </c>
      <c r="E37" s="28">
        <v>0</v>
      </c>
      <c r="F37" s="9">
        <v>0</v>
      </c>
      <c r="G37" s="24">
        <f>E37*F37</f>
        <v>0</v>
      </c>
      <c r="H37" s="25">
        <f>SUM(D37,G37)</f>
        <v>500000</v>
      </c>
      <c r="I37" s="27">
        <v>500000</v>
      </c>
      <c r="J37" s="28">
        <v>0</v>
      </c>
      <c r="K37" s="9">
        <v>0</v>
      </c>
      <c r="L37" s="24">
        <f>J37*K37</f>
        <v>0</v>
      </c>
      <c r="M37" s="25">
        <f>SUM(I37,L37)</f>
        <v>500000</v>
      </c>
      <c r="N37" s="12">
        <f>SUM(M37,H37)</f>
        <v>1000000</v>
      </c>
    </row>
    <row r="38" spans="1:14" ht="17.25" thickBot="1">
      <c r="A38" s="43"/>
      <c r="B38" s="47" t="s">
        <v>94</v>
      </c>
      <c r="C38" s="44"/>
      <c r="D38" s="44">
        <f>SUM(D34:D37)</f>
        <v>3200000</v>
      </c>
      <c r="E38" s="45">
        <f>SUM(E34:E37)</f>
        <v>15</v>
      </c>
      <c r="F38" s="46"/>
      <c r="G38" s="44">
        <f>SUM(G34:G37)</f>
        <v>2250000</v>
      </c>
      <c r="H38" s="44">
        <f>SUM(H34:H37)</f>
        <v>5450000</v>
      </c>
      <c r="I38" s="44">
        <f>SUM(I34:I37)</f>
        <v>1900000</v>
      </c>
      <c r="J38" s="45">
        <f>SUM(J34:J37)</f>
        <v>15</v>
      </c>
      <c r="K38" s="46"/>
      <c r="L38" s="44">
        <f>SUM(L34:L37)</f>
        <v>2250000</v>
      </c>
      <c r="M38" s="44">
        <f>SUM(M34:M37)</f>
        <v>4150000</v>
      </c>
      <c r="N38" s="22">
        <f>SUM(N34:N37)</f>
        <v>9600000</v>
      </c>
    </row>
    <row r="39" spans="1:14" ht="17.25" thickBot="1">
      <c r="A39" s="31"/>
      <c r="B39" s="39"/>
      <c r="C39" s="39"/>
      <c r="D39" s="39"/>
      <c r="E39" s="40"/>
      <c r="F39" s="39"/>
      <c r="G39" s="39"/>
      <c r="H39" s="39"/>
      <c r="I39" s="41"/>
      <c r="J39" s="40"/>
      <c r="K39" s="39"/>
      <c r="L39" s="39"/>
      <c r="M39" s="39"/>
      <c r="N39" s="42"/>
    </row>
    <row r="40" spans="1:14" ht="20.25" customHeight="1" thickBot="1">
      <c r="A40" s="13"/>
      <c r="B40" s="110" t="s">
        <v>3</v>
      </c>
      <c r="C40" s="14"/>
      <c r="D40" s="16">
        <f>SUM(D18,D31,D38)</f>
        <v>13775000</v>
      </c>
      <c r="E40" s="55">
        <f>SUM(E18,E31,E38)</f>
        <v>701</v>
      </c>
      <c r="F40" s="15"/>
      <c r="G40" s="16">
        <f>SUM(G18,G31,G38)</f>
        <v>33587500</v>
      </c>
      <c r="H40" s="16">
        <f>SUM(H18,H31,H38)</f>
        <v>47362500</v>
      </c>
      <c r="I40" s="16">
        <f>SUM(I18,I31,I38)</f>
        <v>7875000</v>
      </c>
      <c r="J40" s="55">
        <f>SUM(J18,J31,J38)</f>
        <v>2387</v>
      </c>
      <c r="K40" s="15"/>
      <c r="L40" s="16">
        <f>SUM(L18,L31,L38)</f>
        <v>86800000</v>
      </c>
      <c r="M40" s="16">
        <f>SUM(M18,M31,M38)</f>
        <v>94675000</v>
      </c>
      <c r="N40" s="16">
        <f>SUM(N18,N31,N38)</f>
        <v>142037500</v>
      </c>
    </row>
    <row r="41" spans="2:14" ht="21" customHeight="1" thickBot="1">
      <c r="B41" s="1"/>
      <c r="C41" s="1"/>
      <c r="D41" s="1"/>
      <c r="E41" s="3"/>
      <c r="F41" s="1"/>
      <c r="G41" s="1"/>
      <c r="H41" s="1"/>
      <c r="I41" s="1"/>
      <c r="J41" s="3"/>
      <c r="K41" s="5" t="s">
        <v>3</v>
      </c>
      <c r="L41" s="6"/>
      <c r="M41" s="4"/>
      <c r="N41" s="26">
        <f>N40</f>
        <v>142037500</v>
      </c>
    </row>
    <row r="42" ht="16.5">
      <c r="N42" s="54"/>
    </row>
  </sheetData>
  <sheetProtection/>
  <mergeCells count="15">
    <mergeCell ref="N2:N4"/>
    <mergeCell ref="E3:G3"/>
    <mergeCell ref="H3:H4"/>
    <mergeCell ref="J3:L3"/>
    <mergeCell ref="M3:M4"/>
    <mergeCell ref="A33:N33"/>
    <mergeCell ref="A20:N20"/>
    <mergeCell ref="A2:A4"/>
    <mergeCell ref="D2:H2"/>
    <mergeCell ref="I2:M2"/>
    <mergeCell ref="B2:B4"/>
    <mergeCell ref="C2:C4"/>
    <mergeCell ref="A5:N5"/>
    <mergeCell ref="D3:D4"/>
    <mergeCell ref="I3:I4"/>
  </mergeCells>
  <printOptions horizontalCentered="1"/>
  <pageMargins left="0.236220472440945" right="0.275590551181102" top="0.984251968503937" bottom="0.433070866141732" header="0.551181102362205" footer="0.275590551181102"/>
  <pageSetup fitToHeight="0" horizontalDpi="600" verticalDpi="600" orientation="landscape" paperSize="9" scale="64" r:id="rId1"/>
  <headerFooter alignWithMargins="0">
    <oddHeader>&amp;L&amp;"Trebuchet MS,Regular"&amp;13ANNEX IX: INDICATIVE BUDGET OF THE PROGRAMME
&amp;A</oddHeader>
    <oddFooter>&amp;LDraft Programme on Industrial Upgrading and Modernization in SADC Countries&amp;R&amp;P/&amp;N</oddFooter>
  </headerFooter>
  <rowBreaks count="2" manualBreakCount="2">
    <brk id="19" max="13" man="1"/>
    <brk id="32" max="13" man="1"/>
  </rowBreaks>
</worksheet>
</file>

<file path=xl/worksheets/sheet2.xml><?xml version="1.0" encoding="utf-8"?>
<worksheet xmlns="http://schemas.openxmlformats.org/spreadsheetml/2006/main" xmlns:r="http://schemas.openxmlformats.org/officeDocument/2006/relationships">
  <dimension ref="A2:R42"/>
  <sheetViews>
    <sheetView view="pageBreakPreview" zoomScaleSheetLayoutView="100" zoomScalePageLayoutView="0" workbookViewId="0" topLeftCell="A1">
      <pane xSplit="1" ySplit="5" topLeftCell="D29" activePane="bottomRight" state="frozen"/>
      <selection pane="topLeft" activeCell="I31" sqref="I31"/>
      <selection pane="topRight" activeCell="I31" sqref="I31"/>
      <selection pane="bottomLeft" activeCell="I31" sqref="I31"/>
      <selection pane="bottomRight" activeCell="A1" sqref="A1:IV16384"/>
    </sheetView>
  </sheetViews>
  <sheetFormatPr defaultColWidth="9.140625" defaultRowHeight="15"/>
  <cols>
    <col min="1" max="1" width="5.140625" style="8" customWidth="1"/>
    <col min="2" max="2" width="41.8515625" style="0" customWidth="1"/>
    <col min="3" max="3" width="33.7109375" style="0" customWidth="1"/>
    <col min="4" max="4" width="11.7109375" style="0" customWidth="1"/>
    <col min="5" max="5" width="7.140625" style="2" customWidth="1"/>
    <col min="6" max="6" width="11.00390625" style="0" customWidth="1"/>
    <col min="7" max="7" width="11.7109375" style="0" bestFit="1" customWidth="1"/>
    <col min="8" max="8" width="12.421875" style="0" customWidth="1"/>
    <col min="9" max="9" width="12.00390625" style="0" customWidth="1"/>
    <col min="10" max="10" width="7.140625" style="2" customWidth="1"/>
    <col min="11" max="11" width="10.28125" style="0" customWidth="1"/>
    <col min="12" max="12" width="12.57421875" style="0" bestFit="1" customWidth="1"/>
    <col min="13" max="13" width="12.421875" style="0" customWidth="1"/>
    <col min="14" max="14" width="14.00390625" style="7" customWidth="1"/>
  </cols>
  <sheetData>
    <row r="1" ht="6.75" customHeight="1" hidden="1" thickBot="1"/>
    <row r="2" spans="1:14" ht="23.25" customHeight="1" thickBot="1">
      <c r="A2" s="159" t="s">
        <v>58</v>
      </c>
      <c r="B2" s="163" t="s">
        <v>52</v>
      </c>
      <c r="C2" s="163" t="s">
        <v>51</v>
      </c>
      <c r="D2" s="145" t="s">
        <v>98</v>
      </c>
      <c r="E2" s="145"/>
      <c r="F2" s="145"/>
      <c r="G2" s="145"/>
      <c r="H2" s="146"/>
      <c r="I2" s="162" t="s">
        <v>99</v>
      </c>
      <c r="J2" s="145"/>
      <c r="K2" s="145"/>
      <c r="L2" s="145"/>
      <c r="M2" s="146"/>
      <c r="N2" s="168" t="s">
        <v>57</v>
      </c>
    </row>
    <row r="3" spans="1:14" ht="15" customHeight="1" thickBot="1">
      <c r="A3" s="160"/>
      <c r="B3" s="164"/>
      <c r="C3" s="164"/>
      <c r="D3" s="166" t="s">
        <v>50</v>
      </c>
      <c r="E3" s="171" t="s">
        <v>53</v>
      </c>
      <c r="F3" s="172"/>
      <c r="G3" s="173"/>
      <c r="H3" s="174" t="s">
        <v>91</v>
      </c>
      <c r="I3" s="166" t="s">
        <v>50</v>
      </c>
      <c r="J3" s="171" t="s">
        <v>53</v>
      </c>
      <c r="K3" s="172"/>
      <c r="L3" s="173"/>
      <c r="M3" s="174" t="s">
        <v>90</v>
      </c>
      <c r="N3" s="169"/>
    </row>
    <row r="4" spans="1:14" ht="29.25" customHeight="1" thickBot="1">
      <c r="A4" s="161"/>
      <c r="B4" s="165"/>
      <c r="C4" s="165"/>
      <c r="D4" s="167"/>
      <c r="E4" s="20" t="s">
        <v>54</v>
      </c>
      <c r="F4" s="21" t="s">
        <v>55</v>
      </c>
      <c r="G4" s="21" t="s">
        <v>56</v>
      </c>
      <c r="H4" s="175"/>
      <c r="I4" s="167"/>
      <c r="J4" s="20" t="s">
        <v>54</v>
      </c>
      <c r="K4" s="21" t="s">
        <v>55</v>
      </c>
      <c r="L4" s="21" t="s">
        <v>56</v>
      </c>
      <c r="M4" s="175"/>
      <c r="N4" s="170"/>
    </row>
    <row r="5" spans="1:14" ht="23.25" customHeight="1" thickBot="1">
      <c r="A5" s="156" t="s">
        <v>59</v>
      </c>
      <c r="B5" s="157"/>
      <c r="C5" s="157"/>
      <c r="D5" s="157"/>
      <c r="E5" s="157"/>
      <c r="F5" s="157"/>
      <c r="G5" s="157"/>
      <c r="H5" s="157"/>
      <c r="I5" s="157"/>
      <c r="J5" s="157"/>
      <c r="K5" s="157"/>
      <c r="L5" s="157"/>
      <c r="M5" s="157"/>
      <c r="N5" s="158"/>
    </row>
    <row r="6" spans="1:14" ht="76.5">
      <c r="A6" s="29" t="s">
        <v>4</v>
      </c>
      <c r="B6" s="50" t="s">
        <v>113</v>
      </c>
      <c r="C6" s="48" t="s">
        <v>85</v>
      </c>
      <c r="D6" s="9">
        <v>0</v>
      </c>
      <c r="E6" s="10">
        <v>20</v>
      </c>
      <c r="F6" s="17">
        <v>50000</v>
      </c>
      <c r="G6" s="32">
        <f aca="true" t="shared" si="0" ref="G6:G17">E6*F6</f>
        <v>1000000</v>
      </c>
      <c r="H6" s="18">
        <f aca="true" t="shared" si="1" ref="H6:H17">SUM(D6,G6)</f>
        <v>1000000</v>
      </c>
      <c r="I6" s="9">
        <v>0</v>
      </c>
      <c r="J6" s="10">
        <v>20</v>
      </c>
      <c r="K6" s="17">
        <v>50000</v>
      </c>
      <c r="L6" s="32">
        <f aca="true" t="shared" si="2" ref="L6:L17">J6*K6</f>
        <v>1000000</v>
      </c>
      <c r="M6" s="18">
        <f aca="true" t="shared" si="3" ref="M6:M17">SUM(I6,L6)</f>
        <v>1000000</v>
      </c>
      <c r="N6" s="19">
        <f aca="true" t="shared" si="4" ref="N6:N17">SUM(M6,H6)</f>
        <v>2000000</v>
      </c>
    </row>
    <row r="7" spans="1:15" ht="38.25">
      <c r="A7" s="30" t="s">
        <v>5</v>
      </c>
      <c r="B7" s="50" t="s">
        <v>114</v>
      </c>
      <c r="C7" s="48" t="s">
        <v>86</v>
      </c>
      <c r="D7" s="9">
        <v>0</v>
      </c>
      <c r="E7" s="10">
        <v>112</v>
      </c>
      <c r="F7" s="9">
        <v>80000</v>
      </c>
      <c r="G7" s="33">
        <f t="shared" si="0"/>
        <v>8960000</v>
      </c>
      <c r="H7" s="18">
        <f t="shared" si="1"/>
        <v>8960000</v>
      </c>
      <c r="I7" s="9">
        <v>0</v>
      </c>
      <c r="J7" s="28">
        <v>338</v>
      </c>
      <c r="K7" s="9">
        <v>80000</v>
      </c>
      <c r="L7" s="33">
        <f t="shared" si="2"/>
        <v>27040000</v>
      </c>
      <c r="M7" s="11">
        <f t="shared" si="3"/>
        <v>27040000</v>
      </c>
      <c r="N7" s="12">
        <f t="shared" si="4"/>
        <v>36000000</v>
      </c>
      <c r="O7">
        <f>E7+J7</f>
        <v>450</v>
      </c>
    </row>
    <row r="8" spans="1:15" ht="38.25">
      <c r="A8" s="30" t="s">
        <v>6</v>
      </c>
      <c r="B8" s="50" t="s">
        <v>149</v>
      </c>
      <c r="C8" s="48" t="s">
        <v>86</v>
      </c>
      <c r="D8" s="9">
        <v>0</v>
      </c>
      <c r="E8" s="10">
        <v>336</v>
      </c>
      <c r="F8" s="9">
        <v>47500</v>
      </c>
      <c r="G8" s="33">
        <f t="shared" si="0"/>
        <v>15960000</v>
      </c>
      <c r="H8" s="18">
        <f t="shared" si="1"/>
        <v>15960000</v>
      </c>
      <c r="I8" s="9">
        <v>0</v>
      </c>
      <c r="J8" s="28">
        <v>1344</v>
      </c>
      <c r="K8" s="9">
        <v>47500</v>
      </c>
      <c r="L8" s="33">
        <f t="shared" si="2"/>
        <v>63840000</v>
      </c>
      <c r="M8" s="11">
        <f t="shared" si="3"/>
        <v>63840000</v>
      </c>
      <c r="N8" s="12">
        <f t="shared" si="4"/>
        <v>79800000</v>
      </c>
      <c r="O8">
        <f>E8+J8</f>
        <v>1680</v>
      </c>
    </row>
    <row r="9" spans="1:14" ht="38.25">
      <c r="A9" s="30" t="s">
        <v>7</v>
      </c>
      <c r="B9" s="50" t="s">
        <v>115</v>
      </c>
      <c r="C9" s="56" t="s">
        <v>87</v>
      </c>
      <c r="D9" s="9">
        <v>0</v>
      </c>
      <c r="E9" s="10">
        <v>0</v>
      </c>
      <c r="F9" s="9">
        <v>0</v>
      </c>
      <c r="G9" s="33">
        <f t="shared" si="0"/>
        <v>0</v>
      </c>
      <c r="H9" s="18">
        <f t="shared" si="1"/>
        <v>0</v>
      </c>
      <c r="I9" s="9">
        <v>0</v>
      </c>
      <c r="J9" s="10">
        <v>0</v>
      </c>
      <c r="K9" s="9">
        <v>0</v>
      </c>
      <c r="L9" s="33">
        <f t="shared" si="2"/>
        <v>0</v>
      </c>
      <c r="M9" s="11">
        <f t="shared" si="3"/>
        <v>0</v>
      </c>
      <c r="N9" s="12">
        <f t="shared" si="4"/>
        <v>0</v>
      </c>
    </row>
    <row r="10" spans="1:14" ht="51">
      <c r="A10" s="30" t="s">
        <v>8</v>
      </c>
      <c r="B10" s="50" t="s">
        <v>116</v>
      </c>
      <c r="C10" s="48" t="s">
        <v>88</v>
      </c>
      <c r="D10" s="9">
        <v>600000</v>
      </c>
      <c r="E10" s="10">
        <v>0</v>
      </c>
      <c r="F10" s="9">
        <v>0</v>
      </c>
      <c r="G10" s="33">
        <f>E10*F10</f>
        <v>0</v>
      </c>
      <c r="H10" s="18">
        <f>SUM(D10,G10)</f>
        <v>600000</v>
      </c>
      <c r="I10" s="9">
        <v>300000</v>
      </c>
      <c r="J10" s="10">
        <v>0</v>
      </c>
      <c r="K10" s="9">
        <v>0</v>
      </c>
      <c r="L10" s="33">
        <f>J10*K10</f>
        <v>0</v>
      </c>
      <c r="M10" s="11">
        <f>SUM(I10,L10)</f>
        <v>300000</v>
      </c>
      <c r="N10" s="12">
        <f>SUM(M10,H10)</f>
        <v>900000</v>
      </c>
    </row>
    <row r="11" spans="1:14" ht="25.5">
      <c r="A11" s="30" t="s">
        <v>9</v>
      </c>
      <c r="B11" s="50" t="s">
        <v>117</v>
      </c>
      <c r="C11" s="48" t="s">
        <v>85</v>
      </c>
      <c r="D11" s="9">
        <v>1500000</v>
      </c>
      <c r="E11" s="10">
        <v>0</v>
      </c>
      <c r="F11" s="9">
        <v>0</v>
      </c>
      <c r="G11" s="33">
        <f t="shared" si="0"/>
        <v>0</v>
      </c>
      <c r="H11" s="11">
        <f t="shared" si="1"/>
        <v>1500000</v>
      </c>
      <c r="I11" s="9">
        <v>0</v>
      </c>
      <c r="J11" s="10">
        <v>0</v>
      </c>
      <c r="K11" s="9">
        <v>0</v>
      </c>
      <c r="L11" s="33">
        <f t="shared" si="2"/>
        <v>0</v>
      </c>
      <c r="M11" s="11">
        <f t="shared" si="3"/>
        <v>0</v>
      </c>
      <c r="N11" s="12">
        <f t="shared" si="4"/>
        <v>1500000</v>
      </c>
    </row>
    <row r="12" spans="1:14" ht="51">
      <c r="A12" s="30" t="s">
        <v>10</v>
      </c>
      <c r="B12" s="50" t="s">
        <v>118</v>
      </c>
      <c r="C12" s="48" t="s">
        <v>85</v>
      </c>
      <c r="D12" s="9">
        <v>300000</v>
      </c>
      <c r="E12" s="10">
        <v>0</v>
      </c>
      <c r="F12" s="9">
        <v>0</v>
      </c>
      <c r="G12" s="33">
        <f t="shared" si="0"/>
        <v>0</v>
      </c>
      <c r="H12" s="18">
        <f t="shared" si="1"/>
        <v>300000</v>
      </c>
      <c r="I12" s="9">
        <v>0</v>
      </c>
      <c r="J12" s="10">
        <v>0</v>
      </c>
      <c r="K12" s="9">
        <v>0</v>
      </c>
      <c r="L12" s="33">
        <f t="shared" si="2"/>
        <v>0</v>
      </c>
      <c r="M12" s="11">
        <f t="shared" si="3"/>
        <v>0</v>
      </c>
      <c r="N12" s="12">
        <f t="shared" si="4"/>
        <v>300000</v>
      </c>
    </row>
    <row r="13" spans="1:14" ht="114.75">
      <c r="A13" s="30" t="s">
        <v>11</v>
      </c>
      <c r="B13" s="50" t="s">
        <v>119</v>
      </c>
      <c r="C13" s="48" t="s">
        <v>89</v>
      </c>
      <c r="D13" s="9">
        <v>750000</v>
      </c>
      <c r="E13" s="10">
        <v>0</v>
      </c>
      <c r="F13" s="9">
        <v>0</v>
      </c>
      <c r="G13" s="33">
        <f t="shared" si="0"/>
        <v>0</v>
      </c>
      <c r="H13" s="11">
        <f t="shared" si="1"/>
        <v>750000</v>
      </c>
      <c r="I13" s="9">
        <v>400000</v>
      </c>
      <c r="J13" s="10">
        <v>0</v>
      </c>
      <c r="K13" s="9">
        <v>0</v>
      </c>
      <c r="L13" s="33">
        <f t="shared" si="2"/>
        <v>0</v>
      </c>
      <c r="M13" s="11">
        <f t="shared" si="3"/>
        <v>400000</v>
      </c>
      <c r="N13" s="12">
        <f t="shared" si="4"/>
        <v>1150000</v>
      </c>
    </row>
    <row r="14" spans="1:14" ht="51">
      <c r="A14" s="30" t="s">
        <v>12</v>
      </c>
      <c r="B14" s="50" t="s">
        <v>97</v>
      </c>
      <c r="C14" s="56" t="s">
        <v>81</v>
      </c>
      <c r="D14" s="9">
        <v>0</v>
      </c>
      <c r="E14" s="10">
        <v>0</v>
      </c>
      <c r="F14" s="9">
        <v>0</v>
      </c>
      <c r="G14" s="33">
        <f>E14*F14</f>
        <v>0</v>
      </c>
      <c r="H14" s="11">
        <f>SUM(D14,G14)</f>
        <v>0</v>
      </c>
      <c r="I14" s="9">
        <v>0</v>
      </c>
      <c r="J14" s="10">
        <v>0</v>
      </c>
      <c r="K14" s="9">
        <v>0</v>
      </c>
      <c r="L14" s="33">
        <f>J14*K14</f>
        <v>0</v>
      </c>
      <c r="M14" s="11">
        <f>SUM(I14,L14)</f>
        <v>0</v>
      </c>
      <c r="N14" s="12">
        <f>SUM(M14,H14)</f>
        <v>0</v>
      </c>
    </row>
    <row r="15" spans="1:14" ht="51">
      <c r="A15" s="30" t="s">
        <v>13</v>
      </c>
      <c r="B15" s="50" t="s">
        <v>120</v>
      </c>
      <c r="C15" s="48" t="s">
        <v>100</v>
      </c>
      <c r="D15" s="9">
        <v>400000</v>
      </c>
      <c r="E15" s="10">
        <v>0</v>
      </c>
      <c r="F15" s="9">
        <v>0</v>
      </c>
      <c r="G15" s="33">
        <f t="shared" si="0"/>
        <v>0</v>
      </c>
      <c r="H15" s="11">
        <f t="shared" si="1"/>
        <v>400000</v>
      </c>
      <c r="I15" s="9">
        <v>0</v>
      </c>
      <c r="J15" s="10">
        <v>0</v>
      </c>
      <c r="K15" s="9">
        <v>0</v>
      </c>
      <c r="L15" s="33">
        <f t="shared" si="2"/>
        <v>0</v>
      </c>
      <c r="M15" s="11">
        <f t="shared" si="3"/>
        <v>0</v>
      </c>
      <c r="N15" s="12">
        <f t="shared" si="4"/>
        <v>400000</v>
      </c>
    </row>
    <row r="16" spans="1:14" ht="63.75">
      <c r="A16" s="30" t="s">
        <v>14</v>
      </c>
      <c r="B16" s="50" t="s">
        <v>121</v>
      </c>
      <c r="C16" s="48" t="s">
        <v>83</v>
      </c>
      <c r="D16" s="9">
        <v>1500000</v>
      </c>
      <c r="E16" s="10">
        <v>0</v>
      </c>
      <c r="F16" s="9">
        <v>0</v>
      </c>
      <c r="G16" s="33">
        <f t="shared" si="0"/>
        <v>0</v>
      </c>
      <c r="H16" s="11">
        <f t="shared" si="1"/>
        <v>1500000</v>
      </c>
      <c r="I16" s="9">
        <v>0</v>
      </c>
      <c r="J16" s="10">
        <v>0</v>
      </c>
      <c r="K16" s="9">
        <v>0</v>
      </c>
      <c r="L16" s="33">
        <f t="shared" si="2"/>
        <v>0</v>
      </c>
      <c r="M16" s="11">
        <f t="shared" si="3"/>
        <v>0</v>
      </c>
      <c r="N16" s="12">
        <f t="shared" si="4"/>
        <v>1500000</v>
      </c>
    </row>
    <row r="17" spans="1:18" ht="77.25" thickBot="1">
      <c r="A17" s="30" t="s">
        <v>148</v>
      </c>
      <c r="B17" s="50" t="s">
        <v>122</v>
      </c>
      <c r="C17" s="72" t="s">
        <v>84</v>
      </c>
      <c r="D17" s="73">
        <v>0</v>
      </c>
      <c r="E17" s="74">
        <v>448</v>
      </c>
      <c r="F17" s="73">
        <v>10000</v>
      </c>
      <c r="G17" s="75">
        <f t="shared" si="0"/>
        <v>4480000</v>
      </c>
      <c r="H17" s="76">
        <f t="shared" si="1"/>
        <v>4480000</v>
      </c>
      <c r="I17" s="73">
        <v>0</v>
      </c>
      <c r="J17" s="74">
        <v>1682</v>
      </c>
      <c r="K17" s="73">
        <v>10000</v>
      </c>
      <c r="L17" s="75">
        <f t="shared" si="2"/>
        <v>16820000</v>
      </c>
      <c r="M17" s="76">
        <f t="shared" si="3"/>
        <v>16820000</v>
      </c>
      <c r="N17" s="77">
        <f t="shared" si="4"/>
        <v>21300000</v>
      </c>
      <c r="O17">
        <f>E17+J17</f>
        <v>2130</v>
      </c>
      <c r="Q17">
        <v>420</v>
      </c>
      <c r="R17">
        <v>1575</v>
      </c>
    </row>
    <row r="18" spans="1:14" ht="18.75" customHeight="1" thickBot="1">
      <c r="A18" s="43"/>
      <c r="B18" s="47" t="s">
        <v>92</v>
      </c>
      <c r="C18" s="44"/>
      <c r="D18" s="44">
        <f>SUM(D6:D17)</f>
        <v>5050000</v>
      </c>
      <c r="E18" s="45">
        <f>SUM(E6:E17)</f>
        <v>916</v>
      </c>
      <c r="F18" s="46"/>
      <c r="G18" s="44">
        <f>SUM(G6:G17)</f>
        <v>30400000</v>
      </c>
      <c r="H18" s="44">
        <f>SUM(H6:H17)</f>
        <v>35450000</v>
      </c>
      <c r="I18" s="44">
        <f>SUM(I6:I17)</f>
        <v>700000</v>
      </c>
      <c r="J18" s="45">
        <f>SUM(J6:J17)</f>
        <v>3384</v>
      </c>
      <c r="K18" s="46"/>
      <c r="L18" s="44">
        <f>SUM(L6:L17)</f>
        <v>108700000</v>
      </c>
      <c r="M18" s="44">
        <f>SUM(M6:M17)</f>
        <v>109400000</v>
      </c>
      <c r="N18" s="22">
        <f>SUM(N6:N17)</f>
        <v>144850000</v>
      </c>
    </row>
    <row r="19" spans="1:14" ht="16.5" customHeight="1" hidden="1" thickBot="1">
      <c r="A19" s="35"/>
      <c r="B19" s="36"/>
      <c r="C19" s="36"/>
      <c r="D19" s="36"/>
      <c r="E19" s="37"/>
      <c r="F19" s="36"/>
      <c r="G19" s="36"/>
      <c r="H19" s="36"/>
      <c r="I19" s="36"/>
      <c r="J19" s="37"/>
      <c r="K19" s="36"/>
      <c r="L19" s="36"/>
      <c r="M19" s="36"/>
      <c r="N19" s="38"/>
    </row>
    <row r="20" spans="1:14" ht="32.25" customHeight="1" thickBot="1">
      <c r="A20" s="156" t="s">
        <v>60</v>
      </c>
      <c r="B20" s="157"/>
      <c r="C20" s="157"/>
      <c r="D20" s="157"/>
      <c r="E20" s="157"/>
      <c r="F20" s="157"/>
      <c r="G20" s="157"/>
      <c r="H20" s="157"/>
      <c r="I20" s="157"/>
      <c r="J20" s="157"/>
      <c r="K20" s="157"/>
      <c r="L20" s="157"/>
      <c r="M20" s="157"/>
      <c r="N20" s="158"/>
    </row>
    <row r="21" spans="1:18" ht="89.25">
      <c r="A21" s="34" t="s">
        <v>15</v>
      </c>
      <c r="B21" s="50" t="s">
        <v>123</v>
      </c>
      <c r="C21" s="48" t="s">
        <v>78</v>
      </c>
      <c r="D21" s="9">
        <v>0</v>
      </c>
      <c r="E21" s="10">
        <v>15</v>
      </c>
      <c r="F21" s="9">
        <v>500000</v>
      </c>
      <c r="G21" s="33">
        <f aca="true" t="shared" si="5" ref="G21:G30">E21*F21</f>
        <v>7500000</v>
      </c>
      <c r="H21" s="11">
        <f aca="true" t="shared" si="6" ref="H21:H30">SUM(D21,G21)</f>
        <v>7500000</v>
      </c>
      <c r="I21" s="9">
        <v>0</v>
      </c>
      <c r="J21" s="28">
        <v>15</v>
      </c>
      <c r="K21" s="9">
        <v>500000</v>
      </c>
      <c r="L21" s="33">
        <f aca="true" t="shared" si="7" ref="L21:L30">J21*K21</f>
        <v>7500000</v>
      </c>
      <c r="M21" s="11">
        <f aca="true" t="shared" si="8" ref="M21:M30">SUM(I21,L21)</f>
        <v>7500000</v>
      </c>
      <c r="N21" s="12">
        <f aca="true" t="shared" si="9" ref="N21:N30">SUM(M21,H21)</f>
        <v>15000000</v>
      </c>
      <c r="O21">
        <f>E21+J21</f>
        <v>30</v>
      </c>
      <c r="Q21">
        <v>14</v>
      </c>
      <c r="R21">
        <v>14</v>
      </c>
    </row>
    <row r="22" spans="1:14" ht="25.5">
      <c r="A22" s="34" t="s">
        <v>16</v>
      </c>
      <c r="B22" s="50" t="s">
        <v>46</v>
      </c>
      <c r="C22" s="56" t="s">
        <v>79</v>
      </c>
      <c r="D22" s="9">
        <v>0</v>
      </c>
      <c r="E22" s="10">
        <v>0</v>
      </c>
      <c r="F22" s="9">
        <v>0</v>
      </c>
      <c r="G22" s="32">
        <f t="shared" si="5"/>
        <v>0</v>
      </c>
      <c r="H22" s="18">
        <f t="shared" si="6"/>
        <v>0</v>
      </c>
      <c r="I22" s="9">
        <v>0</v>
      </c>
      <c r="J22" s="10">
        <v>0</v>
      </c>
      <c r="K22" s="9">
        <v>0</v>
      </c>
      <c r="L22" s="32">
        <f t="shared" si="7"/>
        <v>0</v>
      </c>
      <c r="M22" s="18">
        <f t="shared" si="8"/>
        <v>0</v>
      </c>
      <c r="N22" s="19">
        <f t="shared" si="9"/>
        <v>0</v>
      </c>
    </row>
    <row r="23" spans="1:14" ht="51">
      <c r="A23" s="34" t="s">
        <v>17</v>
      </c>
      <c r="B23" s="50" t="s">
        <v>124</v>
      </c>
      <c r="C23" s="56" t="s">
        <v>79</v>
      </c>
      <c r="D23" s="9">
        <v>0</v>
      </c>
      <c r="E23" s="10">
        <v>0</v>
      </c>
      <c r="F23" s="9">
        <v>0</v>
      </c>
      <c r="G23" s="33">
        <f t="shared" si="5"/>
        <v>0</v>
      </c>
      <c r="H23" s="18">
        <f t="shared" si="6"/>
        <v>0</v>
      </c>
      <c r="I23" s="9">
        <v>0</v>
      </c>
      <c r="J23" s="10">
        <v>0</v>
      </c>
      <c r="K23" s="9">
        <v>0</v>
      </c>
      <c r="L23" s="33">
        <f t="shared" si="7"/>
        <v>0</v>
      </c>
      <c r="M23" s="11">
        <f t="shared" si="8"/>
        <v>0</v>
      </c>
      <c r="N23" s="12">
        <f t="shared" si="9"/>
        <v>0</v>
      </c>
    </row>
    <row r="24" spans="1:14" ht="25.5">
      <c r="A24" s="34" t="s">
        <v>18</v>
      </c>
      <c r="B24" s="50" t="s">
        <v>47</v>
      </c>
      <c r="C24" s="56" t="s">
        <v>79</v>
      </c>
      <c r="D24" s="9">
        <v>0</v>
      </c>
      <c r="E24" s="10">
        <v>0</v>
      </c>
      <c r="F24" s="9">
        <v>0</v>
      </c>
      <c r="G24" s="33">
        <f>E24*F24</f>
        <v>0</v>
      </c>
      <c r="H24" s="18">
        <f>SUM(D24,G24)</f>
        <v>0</v>
      </c>
      <c r="I24" s="9">
        <v>0</v>
      </c>
      <c r="J24" s="10">
        <v>0</v>
      </c>
      <c r="K24" s="9">
        <v>0</v>
      </c>
      <c r="L24" s="33">
        <f t="shared" si="7"/>
        <v>0</v>
      </c>
      <c r="M24" s="11">
        <f t="shared" si="8"/>
        <v>0</v>
      </c>
      <c r="N24" s="12">
        <f t="shared" si="9"/>
        <v>0</v>
      </c>
    </row>
    <row r="25" spans="1:14" ht="63.75">
      <c r="A25" s="34" t="s">
        <v>19</v>
      </c>
      <c r="B25" s="50" t="s">
        <v>48</v>
      </c>
      <c r="C25" s="48" t="s">
        <v>80</v>
      </c>
      <c r="D25" s="9">
        <v>700000</v>
      </c>
      <c r="E25" s="9"/>
      <c r="F25" s="9">
        <v>0</v>
      </c>
      <c r="G25" s="33">
        <f t="shared" si="5"/>
        <v>0</v>
      </c>
      <c r="H25" s="18">
        <f t="shared" si="6"/>
        <v>700000</v>
      </c>
      <c r="I25" s="9">
        <v>700000</v>
      </c>
      <c r="J25" s="10">
        <v>0</v>
      </c>
      <c r="K25" s="9">
        <v>0</v>
      </c>
      <c r="L25" s="33">
        <f t="shared" si="7"/>
        <v>0</v>
      </c>
      <c r="M25" s="11">
        <f t="shared" si="8"/>
        <v>700000</v>
      </c>
      <c r="N25" s="12">
        <f t="shared" si="9"/>
        <v>1400000</v>
      </c>
    </row>
    <row r="26" spans="1:14" ht="63.75">
      <c r="A26" s="34" t="s">
        <v>20</v>
      </c>
      <c r="B26" s="50" t="s">
        <v>125</v>
      </c>
      <c r="C26" s="48" t="s">
        <v>80</v>
      </c>
      <c r="D26" s="9">
        <v>700000</v>
      </c>
      <c r="E26" s="10">
        <v>0</v>
      </c>
      <c r="F26" s="9">
        <v>0</v>
      </c>
      <c r="G26" s="33">
        <f t="shared" si="5"/>
        <v>0</v>
      </c>
      <c r="H26" s="11">
        <f t="shared" si="6"/>
        <v>700000</v>
      </c>
      <c r="I26" s="9">
        <v>700000</v>
      </c>
      <c r="J26" s="10">
        <v>0</v>
      </c>
      <c r="K26" s="9">
        <v>0</v>
      </c>
      <c r="L26" s="33">
        <f t="shared" si="7"/>
        <v>0</v>
      </c>
      <c r="M26" s="11">
        <f t="shared" si="8"/>
        <v>700000</v>
      </c>
      <c r="N26" s="12">
        <f t="shared" si="9"/>
        <v>1400000</v>
      </c>
    </row>
    <row r="27" spans="1:14" ht="51">
      <c r="A27" s="34" t="s">
        <v>21</v>
      </c>
      <c r="B27" s="112" t="s">
        <v>126</v>
      </c>
      <c r="C27" s="48" t="s">
        <v>85</v>
      </c>
      <c r="D27" s="9">
        <f>1500000/8*14</f>
        <v>2625000</v>
      </c>
      <c r="E27" s="10">
        <v>0</v>
      </c>
      <c r="F27" s="9">
        <v>0</v>
      </c>
      <c r="G27" s="33">
        <f>E27*F27</f>
        <v>0</v>
      </c>
      <c r="H27" s="11">
        <f>SUM(D27,G27)</f>
        <v>2625000</v>
      </c>
      <c r="I27" s="9">
        <f>D27/3</f>
        <v>875000</v>
      </c>
      <c r="J27" s="10">
        <v>0</v>
      </c>
      <c r="K27" s="9">
        <v>0</v>
      </c>
      <c r="L27" s="33">
        <f>J27*K27</f>
        <v>0</v>
      </c>
      <c r="M27" s="11">
        <f>SUM(I27,L27)</f>
        <v>875000</v>
      </c>
      <c r="N27" s="12">
        <f>SUM(M27,H27)</f>
        <v>3500000</v>
      </c>
    </row>
    <row r="28" spans="1:18" ht="51">
      <c r="A28" s="34" t="s">
        <v>22</v>
      </c>
      <c r="B28" s="112" t="s">
        <v>127</v>
      </c>
      <c r="C28" s="48" t="s">
        <v>100</v>
      </c>
      <c r="D28" s="9">
        <v>0</v>
      </c>
      <c r="E28" s="10">
        <v>15</v>
      </c>
      <c r="F28" s="9">
        <v>150000</v>
      </c>
      <c r="G28" s="33">
        <f>E28*F28</f>
        <v>2250000</v>
      </c>
      <c r="H28" s="11">
        <f>SUM(D28,G28)</f>
        <v>2250000</v>
      </c>
      <c r="I28" s="9">
        <v>0</v>
      </c>
      <c r="J28" s="28">
        <v>15</v>
      </c>
      <c r="K28" s="9">
        <v>150000</v>
      </c>
      <c r="L28" s="33">
        <f>J28*K28</f>
        <v>2250000</v>
      </c>
      <c r="M28" s="11">
        <f>SUM(I28,L28)</f>
        <v>2250000</v>
      </c>
      <c r="N28" s="12">
        <f>SUM(M28,H28)</f>
        <v>4500000</v>
      </c>
      <c r="Q28">
        <v>14</v>
      </c>
      <c r="R28">
        <v>14</v>
      </c>
    </row>
    <row r="29" spans="1:14" ht="63.75">
      <c r="A29" s="34" t="s">
        <v>23</v>
      </c>
      <c r="B29" s="50" t="s">
        <v>82</v>
      </c>
      <c r="C29" s="48" t="s">
        <v>83</v>
      </c>
      <c r="D29" s="9">
        <v>0</v>
      </c>
      <c r="E29" s="10">
        <v>36</v>
      </c>
      <c r="F29" s="9">
        <v>25000</v>
      </c>
      <c r="G29" s="33">
        <f t="shared" si="5"/>
        <v>900000</v>
      </c>
      <c r="H29" s="11">
        <f t="shared" si="6"/>
        <v>900000</v>
      </c>
      <c r="I29" s="9">
        <v>0</v>
      </c>
      <c r="J29" s="10">
        <v>72</v>
      </c>
      <c r="K29" s="9">
        <v>25000</v>
      </c>
      <c r="L29" s="33">
        <f t="shared" si="7"/>
        <v>1800000</v>
      </c>
      <c r="M29" s="11">
        <f t="shared" si="8"/>
        <v>1800000</v>
      </c>
      <c r="N29" s="12">
        <f t="shared" si="9"/>
        <v>2700000</v>
      </c>
    </row>
    <row r="30" spans="1:14" ht="77.25" thickBot="1">
      <c r="A30" s="34" t="s">
        <v>101</v>
      </c>
      <c r="B30" s="50" t="s">
        <v>49</v>
      </c>
      <c r="C30" s="48" t="s">
        <v>84</v>
      </c>
      <c r="D30" s="9">
        <v>1500000</v>
      </c>
      <c r="E30" s="10">
        <v>0</v>
      </c>
      <c r="F30" s="9">
        <v>0</v>
      </c>
      <c r="G30" s="33">
        <f t="shared" si="5"/>
        <v>0</v>
      </c>
      <c r="H30" s="11">
        <f t="shared" si="6"/>
        <v>1500000</v>
      </c>
      <c r="I30" s="9">
        <v>3000000</v>
      </c>
      <c r="J30" s="10">
        <v>0</v>
      </c>
      <c r="K30" s="9">
        <v>0</v>
      </c>
      <c r="L30" s="33">
        <f t="shared" si="7"/>
        <v>0</v>
      </c>
      <c r="M30" s="11">
        <f t="shared" si="8"/>
        <v>3000000</v>
      </c>
      <c r="N30" s="12">
        <f t="shared" si="9"/>
        <v>4500000</v>
      </c>
    </row>
    <row r="31" spans="1:14" ht="18.75" customHeight="1" thickBot="1">
      <c r="A31" s="43"/>
      <c r="B31" s="47" t="s">
        <v>93</v>
      </c>
      <c r="C31" s="44"/>
      <c r="D31" s="44">
        <f>SUM(D21:D30)</f>
        <v>5525000</v>
      </c>
      <c r="E31" s="45">
        <f>SUM(E21:E30)</f>
        <v>66</v>
      </c>
      <c r="F31" s="46"/>
      <c r="G31" s="44">
        <f>SUM(G21:G30)</f>
        <v>10650000</v>
      </c>
      <c r="H31" s="44">
        <f>SUM(H21:H30)</f>
        <v>16175000</v>
      </c>
      <c r="I31" s="44">
        <f>SUM(I21:I30)</f>
        <v>5275000</v>
      </c>
      <c r="J31" s="45">
        <f>SUM(J21:J30)</f>
        <v>102</v>
      </c>
      <c r="K31" s="46"/>
      <c r="L31" s="44">
        <f>SUM(L21:L30)</f>
        <v>11550000</v>
      </c>
      <c r="M31" s="44">
        <f>SUM(M21:M30)</f>
        <v>16825000</v>
      </c>
      <c r="N31" s="22">
        <f>SUM(N21:N30)</f>
        <v>33000000</v>
      </c>
    </row>
    <row r="32" spans="1:14" ht="16.5" customHeight="1" hidden="1" thickBot="1">
      <c r="A32" s="35"/>
      <c r="B32" s="36"/>
      <c r="C32" s="36"/>
      <c r="D32" s="36"/>
      <c r="E32" s="37"/>
      <c r="F32" s="36"/>
      <c r="G32" s="36"/>
      <c r="H32" s="36"/>
      <c r="I32" s="36"/>
      <c r="J32" s="37"/>
      <c r="K32" s="36"/>
      <c r="L32" s="36"/>
      <c r="M32" s="36"/>
      <c r="N32" s="38"/>
    </row>
    <row r="33" spans="1:14" ht="27.75" customHeight="1" thickBot="1">
      <c r="A33" s="156" t="s">
        <v>63</v>
      </c>
      <c r="B33" s="157"/>
      <c r="C33" s="157"/>
      <c r="D33" s="157"/>
      <c r="E33" s="157"/>
      <c r="F33" s="157"/>
      <c r="G33" s="157"/>
      <c r="H33" s="157"/>
      <c r="I33" s="157"/>
      <c r="J33" s="157"/>
      <c r="K33" s="157"/>
      <c r="L33" s="157"/>
      <c r="M33" s="157"/>
      <c r="N33" s="158"/>
    </row>
    <row r="34" spans="1:14" ht="47.25" customHeight="1">
      <c r="A34" s="23"/>
      <c r="B34" s="57" t="s">
        <v>73</v>
      </c>
      <c r="C34" s="49" t="s">
        <v>74</v>
      </c>
      <c r="D34" s="27">
        <v>2200000</v>
      </c>
      <c r="E34" s="28">
        <v>0</v>
      </c>
      <c r="F34" s="9">
        <v>0</v>
      </c>
      <c r="G34" s="24">
        <f>E34*F34</f>
        <v>0</v>
      </c>
      <c r="H34" s="25">
        <f>SUM(D34,G34)</f>
        <v>2200000</v>
      </c>
      <c r="I34" s="27">
        <v>1100000</v>
      </c>
      <c r="J34" s="28">
        <v>0</v>
      </c>
      <c r="K34" s="9">
        <v>0</v>
      </c>
      <c r="L34" s="24">
        <f>J34*K34</f>
        <v>0</v>
      </c>
      <c r="M34" s="25">
        <f>SUM(I34,L34)</f>
        <v>1100000</v>
      </c>
      <c r="N34" s="12">
        <f>SUM(M34,H34)</f>
        <v>3300000</v>
      </c>
    </row>
    <row r="35" spans="1:18" ht="47.25" customHeight="1">
      <c r="A35" s="23"/>
      <c r="B35" s="57" t="s">
        <v>69</v>
      </c>
      <c r="C35" s="49" t="s">
        <v>75</v>
      </c>
      <c r="D35" s="9">
        <v>0</v>
      </c>
      <c r="E35" s="10">
        <v>15</v>
      </c>
      <c r="F35" s="27">
        <v>150000</v>
      </c>
      <c r="G35" s="24">
        <f>E35*F35</f>
        <v>2250000</v>
      </c>
      <c r="H35" s="25">
        <f>SUM(D35,G35)</f>
        <v>2250000</v>
      </c>
      <c r="I35" s="27">
        <v>0</v>
      </c>
      <c r="J35" s="28">
        <v>15</v>
      </c>
      <c r="K35" s="27">
        <v>150000</v>
      </c>
      <c r="L35" s="24">
        <f>J35*K35</f>
        <v>2250000</v>
      </c>
      <c r="M35" s="25">
        <f>SUM(I35,L35)</f>
        <v>2250000</v>
      </c>
      <c r="N35" s="12">
        <f>SUM(M35,H35)</f>
        <v>4500000</v>
      </c>
      <c r="Q35">
        <v>14</v>
      </c>
      <c r="R35">
        <v>14</v>
      </c>
    </row>
    <row r="36" spans="1:14" ht="47.25" customHeight="1">
      <c r="A36" s="23"/>
      <c r="B36" s="57" t="s">
        <v>61</v>
      </c>
      <c r="C36" s="49" t="s">
        <v>76</v>
      </c>
      <c r="D36" s="27">
        <v>900000</v>
      </c>
      <c r="E36" s="28">
        <v>0</v>
      </c>
      <c r="F36" s="9">
        <v>0</v>
      </c>
      <c r="G36" s="24">
        <f>E36*F36</f>
        <v>0</v>
      </c>
      <c r="H36" s="25">
        <f>SUM(D36,G36)</f>
        <v>900000</v>
      </c>
      <c r="I36" s="27">
        <v>500000</v>
      </c>
      <c r="J36" s="28">
        <v>0</v>
      </c>
      <c r="K36" s="9">
        <v>0</v>
      </c>
      <c r="L36" s="24">
        <f>J36*K36</f>
        <v>0</v>
      </c>
      <c r="M36" s="25">
        <f>SUM(I36,L36)</f>
        <v>500000</v>
      </c>
      <c r="N36" s="12">
        <f>SUM(M36,H36)</f>
        <v>1400000</v>
      </c>
    </row>
    <row r="37" spans="1:14" ht="47.25" customHeight="1" thickBot="1">
      <c r="A37" s="23"/>
      <c r="B37" s="57" t="s">
        <v>62</v>
      </c>
      <c r="C37" s="49" t="s">
        <v>77</v>
      </c>
      <c r="D37" s="27">
        <v>500000</v>
      </c>
      <c r="E37" s="28">
        <v>0</v>
      </c>
      <c r="F37" s="9">
        <v>0</v>
      </c>
      <c r="G37" s="24">
        <f>E37*F37</f>
        <v>0</v>
      </c>
      <c r="H37" s="25">
        <f>SUM(D37,G37)</f>
        <v>500000</v>
      </c>
      <c r="I37" s="27">
        <v>500000</v>
      </c>
      <c r="J37" s="28">
        <v>0</v>
      </c>
      <c r="K37" s="9">
        <v>0</v>
      </c>
      <c r="L37" s="24">
        <f>J37*K37</f>
        <v>0</v>
      </c>
      <c r="M37" s="25">
        <f>SUM(I37,L37)</f>
        <v>500000</v>
      </c>
      <c r="N37" s="12">
        <f>SUM(M37,H37)</f>
        <v>1000000</v>
      </c>
    </row>
    <row r="38" spans="1:14" ht="17.25" thickBot="1">
      <c r="A38" s="43"/>
      <c r="B38" s="47" t="s">
        <v>94</v>
      </c>
      <c r="C38" s="44"/>
      <c r="D38" s="44">
        <f>SUM(D34:D37)</f>
        <v>3600000</v>
      </c>
      <c r="E38" s="45">
        <f>SUM(E34:E37)</f>
        <v>15</v>
      </c>
      <c r="F38" s="46"/>
      <c r="G38" s="44">
        <f>SUM(G34:G37)</f>
        <v>2250000</v>
      </c>
      <c r="H38" s="44">
        <f>SUM(H34:H37)</f>
        <v>5850000</v>
      </c>
      <c r="I38" s="44">
        <f>SUM(I34:I37)</f>
        <v>2100000</v>
      </c>
      <c r="J38" s="45">
        <f>SUM(J34:J37)</f>
        <v>15</v>
      </c>
      <c r="K38" s="46"/>
      <c r="L38" s="44">
        <f>SUM(L34:L37)</f>
        <v>2250000</v>
      </c>
      <c r="M38" s="44">
        <f>SUM(M34:M37)</f>
        <v>4350000</v>
      </c>
      <c r="N38" s="22">
        <f>SUM(N34:N37)</f>
        <v>10200000</v>
      </c>
    </row>
    <row r="39" spans="1:14" ht="17.25" thickBot="1">
      <c r="A39" s="31"/>
      <c r="B39" s="39"/>
      <c r="C39" s="39"/>
      <c r="D39" s="39"/>
      <c r="E39" s="40"/>
      <c r="F39" s="39"/>
      <c r="G39" s="39"/>
      <c r="H39" s="39"/>
      <c r="I39" s="41"/>
      <c r="J39" s="40"/>
      <c r="K39" s="39"/>
      <c r="L39" s="39"/>
      <c r="M39" s="39"/>
      <c r="N39" s="42"/>
    </row>
    <row r="40" spans="1:14" ht="20.25" customHeight="1" thickBot="1">
      <c r="A40" s="13"/>
      <c r="B40" s="110" t="s">
        <v>3</v>
      </c>
      <c r="C40" s="14"/>
      <c r="D40" s="16">
        <f>SUM(D18,D31,D38)</f>
        <v>14175000</v>
      </c>
      <c r="E40" s="55">
        <f>SUM(E18,E31,E38)</f>
        <v>997</v>
      </c>
      <c r="F40" s="15"/>
      <c r="G40" s="16">
        <f>SUM(G18,G31,G38)</f>
        <v>43300000</v>
      </c>
      <c r="H40" s="16">
        <f>SUM(H18,H31,H38)</f>
        <v>57475000</v>
      </c>
      <c r="I40" s="16">
        <f>SUM(I18,I31,I38)</f>
        <v>8075000</v>
      </c>
      <c r="J40" s="55">
        <f>SUM(J18,J31,J38)</f>
        <v>3501</v>
      </c>
      <c r="K40" s="15"/>
      <c r="L40" s="16">
        <f>SUM(L18,L31,L38)</f>
        <v>122500000</v>
      </c>
      <c r="M40" s="16">
        <f>SUM(M18,M31,M38)</f>
        <v>130575000</v>
      </c>
      <c r="N40" s="16">
        <f>SUM(N18,N31,N38)</f>
        <v>188050000</v>
      </c>
    </row>
    <row r="41" spans="2:14" ht="21" customHeight="1" thickBot="1">
      <c r="B41" s="1"/>
      <c r="C41" s="1"/>
      <c r="D41" s="1"/>
      <c r="E41" s="3"/>
      <c r="F41" s="1"/>
      <c r="G41" s="1"/>
      <c r="H41" s="1"/>
      <c r="I41" s="1"/>
      <c r="J41" s="3"/>
      <c r="K41" s="5" t="s">
        <v>3</v>
      </c>
      <c r="L41" s="6"/>
      <c r="M41" s="4"/>
      <c r="N41" s="26">
        <f>N40</f>
        <v>188050000</v>
      </c>
    </row>
    <row r="42" ht="16.5">
      <c r="N42" s="54"/>
    </row>
  </sheetData>
  <sheetProtection/>
  <mergeCells count="15">
    <mergeCell ref="N2:N4"/>
    <mergeCell ref="E3:G3"/>
    <mergeCell ref="H3:H4"/>
    <mergeCell ref="J3:L3"/>
    <mergeCell ref="M3:M4"/>
    <mergeCell ref="A33:N33"/>
    <mergeCell ref="A20:N20"/>
    <mergeCell ref="A2:A4"/>
    <mergeCell ref="D2:H2"/>
    <mergeCell ref="I2:M2"/>
    <mergeCell ref="B2:B4"/>
    <mergeCell ref="C2:C4"/>
    <mergeCell ref="A5:N5"/>
    <mergeCell ref="D3:D4"/>
    <mergeCell ref="I3:I4"/>
  </mergeCells>
  <printOptions horizontalCentered="1"/>
  <pageMargins left="0.236220472440945" right="0.275590551181102" top="0.984251968503937" bottom="0.433070866141732" header="0.551181102362205" footer="0.275590551181102"/>
  <pageSetup fitToHeight="0" horizontalDpi="600" verticalDpi="600" orientation="landscape" paperSize="9" scale="64" r:id="rId1"/>
  <headerFooter alignWithMargins="0">
    <oddHeader>&amp;L&amp;"Trebuchet MS,Regular"&amp;13ANNEX IX: INDICATIVE BUDGET OF THE PROGRAMME
&amp;A</oddHeader>
    <oddFooter>&amp;LDraft Programme on Industrial Upgrading and Modernization in SADC Countries&amp;R&amp;P/&amp;N</oddFooter>
  </headerFooter>
  <rowBreaks count="2" manualBreakCount="2">
    <brk id="19" max="13" man="1"/>
    <brk id="32" max="13" man="1"/>
  </rowBreaks>
</worksheet>
</file>

<file path=xl/worksheets/sheet3.xml><?xml version="1.0" encoding="utf-8"?>
<worksheet xmlns="http://schemas.openxmlformats.org/spreadsheetml/2006/main" xmlns:r="http://schemas.openxmlformats.org/officeDocument/2006/relationships">
  <dimension ref="A2:R42"/>
  <sheetViews>
    <sheetView view="pageBreakPreview" zoomScaleSheetLayoutView="100" zoomScalePageLayoutView="0" workbookViewId="0" topLeftCell="A1">
      <pane xSplit="1" ySplit="5" topLeftCell="C12" activePane="bottomRight" state="frozen"/>
      <selection pane="topLeft" activeCell="I31" sqref="I31"/>
      <selection pane="topRight" activeCell="I31" sqref="I31"/>
      <selection pane="bottomLeft" activeCell="I31" sqref="I31"/>
      <selection pane="bottomRight" activeCell="E34" sqref="E34"/>
    </sheetView>
  </sheetViews>
  <sheetFormatPr defaultColWidth="9.140625" defaultRowHeight="15"/>
  <cols>
    <col min="1" max="1" width="5.140625" style="8" customWidth="1"/>
    <col min="2" max="2" width="41.8515625" style="0" customWidth="1"/>
    <col min="3" max="3" width="33.7109375" style="0" customWidth="1"/>
    <col min="4" max="4" width="11.7109375" style="0" customWidth="1"/>
    <col min="5" max="5" width="7.140625" style="2" customWidth="1"/>
    <col min="6" max="6" width="11.00390625" style="0" customWidth="1"/>
    <col min="7" max="7" width="11.7109375" style="0" bestFit="1" customWidth="1"/>
    <col min="8" max="8" width="12.421875" style="0" customWidth="1"/>
    <col min="9" max="9" width="12.00390625" style="0" customWidth="1"/>
    <col min="10" max="10" width="7.140625" style="2" customWidth="1"/>
    <col min="11" max="11" width="10.28125" style="0" customWidth="1"/>
    <col min="12" max="13" width="12.57421875" style="0" bestFit="1" customWidth="1"/>
    <col min="14" max="14" width="14.00390625" style="7" customWidth="1"/>
  </cols>
  <sheetData>
    <row r="1" ht="6.75" customHeight="1" hidden="1" thickBot="1"/>
    <row r="2" spans="1:14" ht="23.25" customHeight="1" thickBot="1">
      <c r="A2" s="159" t="s">
        <v>58</v>
      </c>
      <c r="B2" s="163" t="s">
        <v>52</v>
      </c>
      <c r="C2" s="163" t="s">
        <v>51</v>
      </c>
      <c r="D2" s="145" t="s">
        <v>98</v>
      </c>
      <c r="E2" s="145"/>
      <c r="F2" s="145"/>
      <c r="G2" s="145"/>
      <c r="H2" s="146"/>
      <c r="I2" s="162" t="s">
        <v>99</v>
      </c>
      <c r="J2" s="145"/>
      <c r="K2" s="145"/>
      <c r="L2" s="145"/>
      <c r="M2" s="146"/>
      <c r="N2" s="168" t="s">
        <v>57</v>
      </c>
    </row>
    <row r="3" spans="1:14" ht="15" customHeight="1" thickBot="1">
      <c r="A3" s="160"/>
      <c r="B3" s="164"/>
      <c r="C3" s="164"/>
      <c r="D3" s="166" t="s">
        <v>50</v>
      </c>
      <c r="E3" s="171" t="s">
        <v>53</v>
      </c>
      <c r="F3" s="172"/>
      <c r="G3" s="173"/>
      <c r="H3" s="174" t="s">
        <v>91</v>
      </c>
      <c r="I3" s="166" t="s">
        <v>50</v>
      </c>
      <c r="J3" s="171" t="s">
        <v>53</v>
      </c>
      <c r="K3" s="172"/>
      <c r="L3" s="173"/>
      <c r="M3" s="174" t="s">
        <v>90</v>
      </c>
      <c r="N3" s="169"/>
    </row>
    <row r="4" spans="1:14" ht="29.25" customHeight="1" thickBot="1">
      <c r="A4" s="161"/>
      <c r="B4" s="165"/>
      <c r="C4" s="165"/>
      <c r="D4" s="167"/>
      <c r="E4" s="20" t="s">
        <v>54</v>
      </c>
      <c r="F4" s="21" t="s">
        <v>55</v>
      </c>
      <c r="G4" s="21" t="s">
        <v>56</v>
      </c>
      <c r="H4" s="175"/>
      <c r="I4" s="167"/>
      <c r="J4" s="20" t="s">
        <v>54</v>
      </c>
      <c r="K4" s="21" t="s">
        <v>55</v>
      </c>
      <c r="L4" s="21" t="s">
        <v>56</v>
      </c>
      <c r="M4" s="175"/>
      <c r="N4" s="170"/>
    </row>
    <row r="5" spans="1:14" ht="23.25" customHeight="1" thickBot="1">
      <c r="A5" s="156" t="s">
        <v>59</v>
      </c>
      <c r="B5" s="157"/>
      <c r="C5" s="157"/>
      <c r="D5" s="157"/>
      <c r="E5" s="157"/>
      <c r="F5" s="157"/>
      <c r="G5" s="157"/>
      <c r="H5" s="157"/>
      <c r="I5" s="157"/>
      <c r="J5" s="157"/>
      <c r="K5" s="157"/>
      <c r="L5" s="157"/>
      <c r="M5" s="157"/>
      <c r="N5" s="158"/>
    </row>
    <row r="6" spans="1:14" ht="76.5">
      <c r="A6" s="29" t="s">
        <v>4</v>
      </c>
      <c r="B6" s="50" t="s">
        <v>113</v>
      </c>
      <c r="C6" s="48" t="s">
        <v>85</v>
      </c>
      <c r="D6" s="9">
        <v>0</v>
      </c>
      <c r="E6" s="10">
        <v>20</v>
      </c>
      <c r="F6" s="17">
        <v>50000</v>
      </c>
      <c r="G6" s="32">
        <f aca="true" t="shared" si="0" ref="G6:G17">E6*F6</f>
        <v>1000000</v>
      </c>
      <c r="H6" s="18">
        <f aca="true" t="shared" si="1" ref="H6:H17">SUM(D6,G6)</f>
        <v>1000000</v>
      </c>
      <c r="I6" s="9">
        <v>0</v>
      </c>
      <c r="J6" s="10">
        <v>20</v>
      </c>
      <c r="K6" s="17">
        <v>50000</v>
      </c>
      <c r="L6" s="32">
        <f aca="true" t="shared" si="2" ref="L6:L17">J6*K6</f>
        <v>1000000</v>
      </c>
      <c r="M6" s="18">
        <f aca="true" t="shared" si="3" ref="M6:M17">SUM(I6,L6)</f>
        <v>1000000</v>
      </c>
      <c r="N6" s="19">
        <f aca="true" t="shared" si="4" ref="N6:N17">SUM(M6,H6)</f>
        <v>2000000</v>
      </c>
    </row>
    <row r="7" spans="1:15" ht="38.25">
      <c r="A7" s="30" t="s">
        <v>5</v>
      </c>
      <c r="B7" s="50" t="s">
        <v>114</v>
      </c>
      <c r="C7" s="48" t="s">
        <v>86</v>
      </c>
      <c r="D7" s="9">
        <v>0</v>
      </c>
      <c r="E7" s="10">
        <v>150</v>
      </c>
      <c r="F7" s="9">
        <v>80000</v>
      </c>
      <c r="G7" s="33">
        <f t="shared" si="0"/>
        <v>12000000</v>
      </c>
      <c r="H7" s="18">
        <f t="shared" si="1"/>
        <v>12000000</v>
      </c>
      <c r="I7" s="9">
        <v>0</v>
      </c>
      <c r="J7" s="28">
        <v>450</v>
      </c>
      <c r="K7" s="9">
        <v>80000</v>
      </c>
      <c r="L7" s="33">
        <f t="shared" si="2"/>
        <v>36000000</v>
      </c>
      <c r="M7" s="11">
        <f t="shared" si="3"/>
        <v>36000000</v>
      </c>
      <c r="N7" s="12">
        <f t="shared" si="4"/>
        <v>48000000</v>
      </c>
      <c r="O7">
        <f>E7+J7</f>
        <v>600</v>
      </c>
    </row>
    <row r="8" spans="1:15" ht="38.25">
      <c r="A8" s="30" t="s">
        <v>6</v>
      </c>
      <c r="B8" s="50" t="s">
        <v>149</v>
      </c>
      <c r="C8" s="48" t="s">
        <v>86</v>
      </c>
      <c r="D8" s="9">
        <v>0</v>
      </c>
      <c r="E8" s="10">
        <v>450</v>
      </c>
      <c r="F8" s="9">
        <v>47500</v>
      </c>
      <c r="G8" s="33">
        <f t="shared" si="0"/>
        <v>21375000</v>
      </c>
      <c r="H8" s="18">
        <f t="shared" si="1"/>
        <v>21375000</v>
      </c>
      <c r="I8" s="9">
        <v>0</v>
      </c>
      <c r="J8" s="28">
        <v>1800</v>
      </c>
      <c r="K8" s="9">
        <v>47500</v>
      </c>
      <c r="L8" s="33">
        <f t="shared" si="2"/>
        <v>85500000</v>
      </c>
      <c r="M8" s="11">
        <f t="shared" si="3"/>
        <v>85500000</v>
      </c>
      <c r="N8" s="12">
        <f t="shared" si="4"/>
        <v>106875000</v>
      </c>
      <c r="O8">
        <f>E8+J8</f>
        <v>2250</v>
      </c>
    </row>
    <row r="9" spans="1:14" ht="38.25">
      <c r="A9" s="30" t="s">
        <v>7</v>
      </c>
      <c r="B9" s="50" t="s">
        <v>115</v>
      </c>
      <c r="C9" s="56" t="s">
        <v>87</v>
      </c>
      <c r="D9" s="9">
        <v>0</v>
      </c>
      <c r="E9" s="10">
        <v>0</v>
      </c>
      <c r="F9" s="9">
        <v>0</v>
      </c>
      <c r="G9" s="33">
        <f t="shared" si="0"/>
        <v>0</v>
      </c>
      <c r="H9" s="18">
        <f t="shared" si="1"/>
        <v>0</v>
      </c>
      <c r="I9" s="9">
        <v>0</v>
      </c>
      <c r="J9" s="10">
        <v>0</v>
      </c>
      <c r="K9" s="9">
        <v>0</v>
      </c>
      <c r="L9" s="33">
        <f t="shared" si="2"/>
        <v>0</v>
      </c>
      <c r="M9" s="11">
        <f t="shared" si="3"/>
        <v>0</v>
      </c>
      <c r="N9" s="12">
        <f t="shared" si="4"/>
        <v>0</v>
      </c>
    </row>
    <row r="10" spans="1:14" ht="51">
      <c r="A10" s="30" t="s">
        <v>8</v>
      </c>
      <c r="B10" s="50" t="s">
        <v>116</v>
      </c>
      <c r="C10" s="48" t="s">
        <v>88</v>
      </c>
      <c r="D10" s="9">
        <v>600000</v>
      </c>
      <c r="E10" s="10">
        <v>0</v>
      </c>
      <c r="F10" s="9">
        <v>0</v>
      </c>
      <c r="G10" s="33">
        <f>E10*F10</f>
        <v>0</v>
      </c>
      <c r="H10" s="18">
        <f>SUM(D10,G10)</f>
        <v>600000</v>
      </c>
      <c r="I10" s="9">
        <v>300000</v>
      </c>
      <c r="J10" s="10">
        <v>0</v>
      </c>
      <c r="K10" s="9">
        <v>0</v>
      </c>
      <c r="L10" s="33">
        <f>J10*K10</f>
        <v>0</v>
      </c>
      <c r="M10" s="11">
        <f>SUM(I10,L10)</f>
        <v>300000</v>
      </c>
      <c r="N10" s="12">
        <f>SUM(M10,H10)</f>
        <v>900000</v>
      </c>
    </row>
    <row r="11" spans="1:14" ht="25.5">
      <c r="A11" s="30" t="s">
        <v>9</v>
      </c>
      <c r="B11" s="50" t="s">
        <v>117</v>
      </c>
      <c r="C11" s="48" t="s">
        <v>85</v>
      </c>
      <c r="D11" s="9">
        <v>1500000</v>
      </c>
      <c r="E11" s="10">
        <v>0</v>
      </c>
      <c r="F11" s="9">
        <v>0</v>
      </c>
      <c r="G11" s="33">
        <f t="shared" si="0"/>
        <v>0</v>
      </c>
      <c r="H11" s="11">
        <f t="shared" si="1"/>
        <v>1500000</v>
      </c>
      <c r="I11" s="9">
        <v>0</v>
      </c>
      <c r="J11" s="10">
        <v>0</v>
      </c>
      <c r="K11" s="9">
        <v>0</v>
      </c>
      <c r="L11" s="33">
        <f t="shared" si="2"/>
        <v>0</v>
      </c>
      <c r="M11" s="11">
        <f t="shared" si="3"/>
        <v>0</v>
      </c>
      <c r="N11" s="12">
        <f t="shared" si="4"/>
        <v>1500000</v>
      </c>
    </row>
    <row r="12" spans="1:14" ht="51">
      <c r="A12" s="30" t="s">
        <v>10</v>
      </c>
      <c r="B12" s="50" t="s">
        <v>118</v>
      </c>
      <c r="C12" s="48" t="s">
        <v>85</v>
      </c>
      <c r="D12" s="9">
        <v>300000</v>
      </c>
      <c r="E12" s="10">
        <v>0</v>
      </c>
      <c r="F12" s="9">
        <v>0</v>
      </c>
      <c r="G12" s="33">
        <f t="shared" si="0"/>
        <v>0</v>
      </c>
      <c r="H12" s="18">
        <f t="shared" si="1"/>
        <v>300000</v>
      </c>
      <c r="I12" s="9">
        <v>0</v>
      </c>
      <c r="J12" s="10">
        <v>0</v>
      </c>
      <c r="K12" s="9">
        <v>0</v>
      </c>
      <c r="L12" s="33">
        <f t="shared" si="2"/>
        <v>0</v>
      </c>
      <c r="M12" s="11">
        <f t="shared" si="3"/>
        <v>0</v>
      </c>
      <c r="N12" s="12">
        <f t="shared" si="4"/>
        <v>300000</v>
      </c>
    </row>
    <row r="13" spans="1:14" ht="114.75">
      <c r="A13" s="30" t="s">
        <v>11</v>
      </c>
      <c r="B13" s="50" t="s">
        <v>119</v>
      </c>
      <c r="C13" s="48" t="s">
        <v>89</v>
      </c>
      <c r="D13" s="9">
        <v>750000</v>
      </c>
      <c r="E13" s="10">
        <v>0</v>
      </c>
      <c r="F13" s="9">
        <v>0</v>
      </c>
      <c r="G13" s="33">
        <f t="shared" si="0"/>
        <v>0</v>
      </c>
      <c r="H13" s="11">
        <f t="shared" si="1"/>
        <v>750000</v>
      </c>
      <c r="I13" s="9">
        <v>400000</v>
      </c>
      <c r="J13" s="10">
        <v>0</v>
      </c>
      <c r="K13" s="9">
        <v>0</v>
      </c>
      <c r="L13" s="33">
        <f t="shared" si="2"/>
        <v>0</v>
      </c>
      <c r="M13" s="11">
        <f t="shared" si="3"/>
        <v>400000</v>
      </c>
      <c r="N13" s="12">
        <f t="shared" si="4"/>
        <v>1150000</v>
      </c>
    </row>
    <row r="14" spans="1:14" ht="51">
      <c r="A14" s="30" t="s">
        <v>12</v>
      </c>
      <c r="B14" s="50" t="s">
        <v>97</v>
      </c>
      <c r="C14" s="56" t="s">
        <v>81</v>
      </c>
      <c r="D14" s="9">
        <v>0</v>
      </c>
      <c r="E14" s="10">
        <v>0</v>
      </c>
      <c r="F14" s="9">
        <v>0</v>
      </c>
      <c r="G14" s="33">
        <f>E14*F14</f>
        <v>0</v>
      </c>
      <c r="H14" s="11">
        <f>SUM(D14,G14)</f>
        <v>0</v>
      </c>
      <c r="I14" s="9">
        <v>0</v>
      </c>
      <c r="J14" s="10">
        <v>0</v>
      </c>
      <c r="K14" s="9">
        <v>0</v>
      </c>
      <c r="L14" s="33">
        <f>J14*K14</f>
        <v>0</v>
      </c>
      <c r="M14" s="11">
        <f>SUM(I14,L14)</f>
        <v>0</v>
      </c>
      <c r="N14" s="12">
        <f>SUM(M14,H14)</f>
        <v>0</v>
      </c>
    </row>
    <row r="15" spans="1:14" ht="51">
      <c r="A15" s="30" t="s">
        <v>13</v>
      </c>
      <c r="B15" s="50" t="s">
        <v>120</v>
      </c>
      <c r="C15" s="48" t="s">
        <v>100</v>
      </c>
      <c r="D15" s="9">
        <v>400000</v>
      </c>
      <c r="E15" s="10">
        <v>0</v>
      </c>
      <c r="F15" s="9">
        <v>0</v>
      </c>
      <c r="G15" s="33">
        <f t="shared" si="0"/>
        <v>0</v>
      </c>
      <c r="H15" s="11">
        <f t="shared" si="1"/>
        <v>400000</v>
      </c>
      <c r="I15" s="9">
        <v>0</v>
      </c>
      <c r="J15" s="10">
        <v>0</v>
      </c>
      <c r="K15" s="9">
        <v>0</v>
      </c>
      <c r="L15" s="33">
        <f t="shared" si="2"/>
        <v>0</v>
      </c>
      <c r="M15" s="11">
        <f t="shared" si="3"/>
        <v>0</v>
      </c>
      <c r="N15" s="12">
        <f t="shared" si="4"/>
        <v>400000</v>
      </c>
    </row>
    <row r="16" spans="1:14" ht="63.75">
      <c r="A16" s="30" t="s">
        <v>14</v>
      </c>
      <c r="B16" s="50" t="s">
        <v>121</v>
      </c>
      <c r="C16" s="48" t="s">
        <v>83</v>
      </c>
      <c r="D16" s="9">
        <v>1500000</v>
      </c>
      <c r="E16" s="10">
        <v>0</v>
      </c>
      <c r="F16" s="9">
        <v>0</v>
      </c>
      <c r="G16" s="33">
        <f t="shared" si="0"/>
        <v>0</v>
      </c>
      <c r="H16" s="11">
        <f t="shared" si="1"/>
        <v>1500000</v>
      </c>
      <c r="I16" s="9">
        <v>0</v>
      </c>
      <c r="J16" s="10">
        <v>0</v>
      </c>
      <c r="K16" s="9">
        <v>0</v>
      </c>
      <c r="L16" s="33">
        <f t="shared" si="2"/>
        <v>0</v>
      </c>
      <c r="M16" s="11">
        <f t="shared" si="3"/>
        <v>0</v>
      </c>
      <c r="N16" s="12">
        <f t="shared" si="4"/>
        <v>1500000</v>
      </c>
    </row>
    <row r="17" spans="1:18" ht="77.25" thickBot="1">
      <c r="A17" s="30" t="s">
        <v>148</v>
      </c>
      <c r="B17" s="50" t="s">
        <v>122</v>
      </c>
      <c r="C17" s="72" t="s">
        <v>84</v>
      </c>
      <c r="D17" s="73">
        <v>0</v>
      </c>
      <c r="E17" s="74">
        <v>600</v>
      </c>
      <c r="F17" s="73">
        <v>10000</v>
      </c>
      <c r="G17" s="75">
        <f t="shared" si="0"/>
        <v>6000000</v>
      </c>
      <c r="H17" s="76">
        <f t="shared" si="1"/>
        <v>6000000</v>
      </c>
      <c r="I17" s="73">
        <v>0</v>
      </c>
      <c r="J17" s="74">
        <v>2250</v>
      </c>
      <c r="K17" s="73">
        <v>10000</v>
      </c>
      <c r="L17" s="75">
        <f t="shared" si="2"/>
        <v>22500000</v>
      </c>
      <c r="M17" s="76">
        <f t="shared" si="3"/>
        <v>22500000</v>
      </c>
      <c r="N17" s="77">
        <f t="shared" si="4"/>
        <v>28500000</v>
      </c>
      <c r="O17">
        <f>E17+J17</f>
        <v>2850</v>
      </c>
      <c r="Q17">
        <v>560</v>
      </c>
      <c r="R17">
        <v>2100</v>
      </c>
    </row>
    <row r="18" spans="1:14" ht="18.75" customHeight="1" thickBot="1">
      <c r="A18" s="43"/>
      <c r="B18" s="47" t="s">
        <v>92</v>
      </c>
      <c r="C18" s="44"/>
      <c r="D18" s="44">
        <f>SUM(D6:D17)</f>
        <v>5050000</v>
      </c>
      <c r="E18" s="45">
        <f>SUM(E6:E17)</f>
        <v>1220</v>
      </c>
      <c r="F18" s="46"/>
      <c r="G18" s="44">
        <f>SUM(G6:G17)</f>
        <v>40375000</v>
      </c>
      <c r="H18" s="44">
        <f>SUM(H6:H17)</f>
        <v>45425000</v>
      </c>
      <c r="I18" s="44">
        <f>SUM(I6:I17)</f>
        <v>700000</v>
      </c>
      <c r="J18" s="45">
        <f>SUM(J6:J17)</f>
        <v>4520</v>
      </c>
      <c r="K18" s="46"/>
      <c r="L18" s="44">
        <f>SUM(L6:L17)</f>
        <v>145000000</v>
      </c>
      <c r="M18" s="44">
        <f>SUM(M6:M17)</f>
        <v>145700000</v>
      </c>
      <c r="N18" s="22">
        <f>SUM(N6:N17)</f>
        <v>191125000</v>
      </c>
    </row>
    <row r="19" spans="1:14" ht="16.5" customHeight="1" hidden="1" thickBot="1">
      <c r="A19" s="35"/>
      <c r="B19" s="36"/>
      <c r="C19" s="36"/>
      <c r="D19" s="36"/>
      <c r="E19" s="37"/>
      <c r="F19" s="36"/>
      <c r="G19" s="36"/>
      <c r="H19" s="36"/>
      <c r="I19" s="36"/>
      <c r="J19" s="37"/>
      <c r="K19" s="36"/>
      <c r="L19" s="36"/>
      <c r="M19" s="36"/>
      <c r="N19" s="38"/>
    </row>
    <row r="20" spans="1:14" ht="32.25" customHeight="1" thickBot="1">
      <c r="A20" s="156" t="s">
        <v>60</v>
      </c>
      <c r="B20" s="157"/>
      <c r="C20" s="157"/>
      <c r="D20" s="157"/>
      <c r="E20" s="157"/>
      <c r="F20" s="157"/>
      <c r="G20" s="157"/>
      <c r="H20" s="157"/>
      <c r="I20" s="157"/>
      <c r="J20" s="157"/>
      <c r="K20" s="157"/>
      <c r="L20" s="157"/>
      <c r="M20" s="157"/>
      <c r="N20" s="158"/>
    </row>
    <row r="21" spans="1:18" ht="89.25">
      <c r="A21" s="34" t="s">
        <v>15</v>
      </c>
      <c r="B21" s="50" t="s">
        <v>123</v>
      </c>
      <c r="C21" s="48" t="s">
        <v>78</v>
      </c>
      <c r="D21" s="9">
        <v>0</v>
      </c>
      <c r="E21" s="10">
        <v>15</v>
      </c>
      <c r="F21" s="9">
        <v>500000</v>
      </c>
      <c r="G21" s="33">
        <f aca="true" t="shared" si="5" ref="G21:G30">E21*F21</f>
        <v>7500000</v>
      </c>
      <c r="H21" s="11">
        <f aca="true" t="shared" si="6" ref="H21:H30">SUM(D21,G21)</f>
        <v>7500000</v>
      </c>
      <c r="I21" s="9">
        <v>0</v>
      </c>
      <c r="J21" s="28">
        <v>15</v>
      </c>
      <c r="K21" s="9">
        <v>500000</v>
      </c>
      <c r="L21" s="33">
        <f aca="true" t="shared" si="7" ref="L21:L30">J21*K21</f>
        <v>7500000</v>
      </c>
      <c r="M21" s="11">
        <f aca="true" t="shared" si="8" ref="M21:M30">SUM(I21,L21)</f>
        <v>7500000</v>
      </c>
      <c r="N21" s="12">
        <f aca="true" t="shared" si="9" ref="N21:N30">SUM(M21,H21)</f>
        <v>15000000</v>
      </c>
      <c r="O21">
        <f>E21+J21</f>
        <v>30</v>
      </c>
      <c r="Q21">
        <v>14</v>
      </c>
      <c r="R21">
        <v>14</v>
      </c>
    </row>
    <row r="22" spans="1:14" ht="25.5">
      <c r="A22" s="34" t="s">
        <v>16</v>
      </c>
      <c r="B22" s="50" t="s">
        <v>46</v>
      </c>
      <c r="C22" s="56" t="s">
        <v>79</v>
      </c>
      <c r="D22" s="9">
        <v>0</v>
      </c>
      <c r="E22" s="10">
        <v>0</v>
      </c>
      <c r="F22" s="9">
        <v>0</v>
      </c>
      <c r="G22" s="32">
        <f t="shared" si="5"/>
        <v>0</v>
      </c>
      <c r="H22" s="18">
        <f t="shared" si="6"/>
        <v>0</v>
      </c>
      <c r="I22" s="9">
        <v>0</v>
      </c>
      <c r="J22" s="10">
        <v>0</v>
      </c>
      <c r="K22" s="9">
        <v>0</v>
      </c>
      <c r="L22" s="32">
        <f t="shared" si="7"/>
        <v>0</v>
      </c>
      <c r="M22" s="18">
        <f t="shared" si="8"/>
        <v>0</v>
      </c>
      <c r="N22" s="19">
        <f t="shared" si="9"/>
        <v>0</v>
      </c>
    </row>
    <row r="23" spans="1:14" ht="51">
      <c r="A23" s="34" t="s">
        <v>17</v>
      </c>
      <c r="B23" s="50" t="s">
        <v>124</v>
      </c>
      <c r="C23" s="56" t="s">
        <v>79</v>
      </c>
      <c r="D23" s="9">
        <v>0</v>
      </c>
      <c r="E23" s="10">
        <v>0</v>
      </c>
      <c r="F23" s="9">
        <v>0</v>
      </c>
      <c r="G23" s="33">
        <f t="shared" si="5"/>
        <v>0</v>
      </c>
      <c r="H23" s="18">
        <f t="shared" si="6"/>
        <v>0</v>
      </c>
      <c r="I23" s="9">
        <v>0</v>
      </c>
      <c r="J23" s="10">
        <v>0</v>
      </c>
      <c r="K23" s="9">
        <v>0</v>
      </c>
      <c r="L23" s="33">
        <f t="shared" si="7"/>
        <v>0</v>
      </c>
      <c r="M23" s="11">
        <f t="shared" si="8"/>
        <v>0</v>
      </c>
      <c r="N23" s="12">
        <f t="shared" si="9"/>
        <v>0</v>
      </c>
    </row>
    <row r="24" spans="1:14" ht="25.5">
      <c r="A24" s="34" t="s">
        <v>18</v>
      </c>
      <c r="B24" s="50" t="s">
        <v>47</v>
      </c>
      <c r="C24" s="56" t="s">
        <v>79</v>
      </c>
      <c r="D24" s="9">
        <v>0</v>
      </c>
      <c r="E24" s="10">
        <v>0</v>
      </c>
      <c r="F24" s="9">
        <v>0</v>
      </c>
      <c r="G24" s="33">
        <f>E24*F24</f>
        <v>0</v>
      </c>
      <c r="H24" s="18">
        <f>SUM(D24,G24)</f>
        <v>0</v>
      </c>
      <c r="I24" s="9">
        <v>0</v>
      </c>
      <c r="J24" s="10">
        <v>0</v>
      </c>
      <c r="K24" s="9">
        <v>0</v>
      </c>
      <c r="L24" s="33">
        <f t="shared" si="7"/>
        <v>0</v>
      </c>
      <c r="M24" s="11">
        <f t="shared" si="8"/>
        <v>0</v>
      </c>
      <c r="N24" s="12">
        <f t="shared" si="9"/>
        <v>0</v>
      </c>
    </row>
    <row r="25" spans="1:14" ht="63.75">
      <c r="A25" s="34" t="s">
        <v>19</v>
      </c>
      <c r="B25" s="50" t="s">
        <v>48</v>
      </c>
      <c r="C25" s="48" t="s">
        <v>80</v>
      </c>
      <c r="D25" s="9">
        <v>700000</v>
      </c>
      <c r="E25" s="9"/>
      <c r="F25" s="9">
        <v>0</v>
      </c>
      <c r="G25" s="33">
        <f t="shared" si="5"/>
        <v>0</v>
      </c>
      <c r="H25" s="18">
        <f t="shared" si="6"/>
        <v>700000</v>
      </c>
      <c r="I25" s="9">
        <v>700000</v>
      </c>
      <c r="J25" s="10">
        <v>0</v>
      </c>
      <c r="K25" s="9">
        <v>0</v>
      </c>
      <c r="L25" s="33">
        <f t="shared" si="7"/>
        <v>0</v>
      </c>
      <c r="M25" s="11">
        <f t="shared" si="8"/>
        <v>700000</v>
      </c>
      <c r="N25" s="12">
        <f t="shared" si="9"/>
        <v>1400000</v>
      </c>
    </row>
    <row r="26" spans="1:14" ht="63.75">
      <c r="A26" s="34" t="s">
        <v>20</v>
      </c>
      <c r="B26" s="50" t="s">
        <v>125</v>
      </c>
      <c r="C26" s="48" t="s">
        <v>80</v>
      </c>
      <c r="D26" s="9">
        <v>700000</v>
      </c>
      <c r="E26" s="10">
        <v>0</v>
      </c>
      <c r="F26" s="9">
        <v>0</v>
      </c>
      <c r="G26" s="33">
        <f t="shared" si="5"/>
        <v>0</v>
      </c>
      <c r="H26" s="11">
        <f t="shared" si="6"/>
        <v>700000</v>
      </c>
      <c r="I26" s="9">
        <v>700000</v>
      </c>
      <c r="J26" s="10">
        <v>0</v>
      </c>
      <c r="K26" s="9">
        <v>0</v>
      </c>
      <c r="L26" s="33">
        <f t="shared" si="7"/>
        <v>0</v>
      </c>
      <c r="M26" s="11">
        <f t="shared" si="8"/>
        <v>700000</v>
      </c>
      <c r="N26" s="12">
        <f t="shared" si="9"/>
        <v>1400000</v>
      </c>
    </row>
    <row r="27" spans="1:14" ht="51">
      <c r="A27" s="34" t="s">
        <v>21</v>
      </c>
      <c r="B27" s="112" t="s">
        <v>126</v>
      </c>
      <c r="C27" s="48" t="s">
        <v>85</v>
      </c>
      <c r="D27" s="9">
        <f>1500000/8*14</f>
        <v>2625000</v>
      </c>
      <c r="E27" s="10">
        <v>0</v>
      </c>
      <c r="F27" s="9">
        <v>0</v>
      </c>
      <c r="G27" s="33">
        <f>E27*F27</f>
        <v>0</v>
      </c>
      <c r="H27" s="11">
        <f>SUM(D27,G27)</f>
        <v>2625000</v>
      </c>
      <c r="I27" s="9">
        <f>D27/3</f>
        <v>875000</v>
      </c>
      <c r="J27" s="10">
        <v>0</v>
      </c>
      <c r="K27" s="9">
        <v>0</v>
      </c>
      <c r="L27" s="33">
        <f>J27*K27</f>
        <v>0</v>
      </c>
      <c r="M27" s="11">
        <f>SUM(I27,L27)</f>
        <v>875000</v>
      </c>
      <c r="N27" s="12">
        <f>SUM(M27,H27)</f>
        <v>3500000</v>
      </c>
    </row>
    <row r="28" spans="1:18" ht="51">
      <c r="A28" s="34" t="s">
        <v>22</v>
      </c>
      <c r="B28" s="112" t="s">
        <v>127</v>
      </c>
      <c r="C28" s="48" t="s">
        <v>100</v>
      </c>
      <c r="D28" s="9">
        <v>0</v>
      </c>
      <c r="E28" s="10">
        <v>15</v>
      </c>
      <c r="F28" s="9">
        <v>150000</v>
      </c>
      <c r="G28" s="33">
        <f>E28*F28</f>
        <v>2250000</v>
      </c>
      <c r="H28" s="11">
        <f>SUM(D28,G28)</f>
        <v>2250000</v>
      </c>
      <c r="I28" s="9">
        <v>0</v>
      </c>
      <c r="J28" s="28">
        <v>15</v>
      </c>
      <c r="K28" s="9">
        <v>150000</v>
      </c>
      <c r="L28" s="33">
        <f>J28*K28</f>
        <v>2250000</v>
      </c>
      <c r="M28" s="11">
        <f>SUM(I28,L28)</f>
        <v>2250000</v>
      </c>
      <c r="N28" s="12">
        <f>SUM(M28,H28)</f>
        <v>4500000</v>
      </c>
      <c r="Q28">
        <v>14</v>
      </c>
      <c r="R28">
        <v>14</v>
      </c>
    </row>
    <row r="29" spans="1:14" ht="63.75">
      <c r="A29" s="34" t="s">
        <v>23</v>
      </c>
      <c r="B29" s="50" t="s">
        <v>82</v>
      </c>
      <c r="C29" s="48" t="s">
        <v>83</v>
      </c>
      <c r="D29" s="9">
        <v>0</v>
      </c>
      <c r="E29" s="10">
        <v>36</v>
      </c>
      <c r="F29" s="9">
        <v>25000</v>
      </c>
      <c r="G29" s="33">
        <f t="shared" si="5"/>
        <v>900000</v>
      </c>
      <c r="H29" s="11">
        <f t="shared" si="6"/>
        <v>900000</v>
      </c>
      <c r="I29" s="9">
        <v>0</v>
      </c>
      <c r="J29" s="10">
        <v>72</v>
      </c>
      <c r="K29" s="9">
        <v>25000</v>
      </c>
      <c r="L29" s="33">
        <f t="shared" si="7"/>
        <v>1800000</v>
      </c>
      <c r="M29" s="11">
        <f t="shared" si="8"/>
        <v>1800000</v>
      </c>
      <c r="N29" s="12">
        <f t="shared" si="9"/>
        <v>2700000</v>
      </c>
    </row>
    <row r="30" spans="1:14" ht="77.25" thickBot="1">
      <c r="A30" s="34" t="s">
        <v>101</v>
      </c>
      <c r="B30" s="50" t="s">
        <v>49</v>
      </c>
      <c r="C30" s="48" t="s">
        <v>84</v>
      </c>
      <c r="D30" s="9">
        <v>1500000</v>
      </c>
      <c r="E30" s="10">
        <v>0</v>
      </c>
      <c r="F30" s="9">
        <v>0</v>
      </c>
      <c r="G30" s="33">
        <f t="shared" si="5"/>
        <v>0</v>
      </c>
      <c r="H30" s="11">
        <f t="shared" si="6"/>
        <v>1500000</v>
      </c>
      <c r="I30" s="9">
        <v>3000000</v>
      </c>
      <c r="J30" s="10">
        <v>0</v>
      </c>
      <c r="K30" s="9">
        <v>0</v>
      </c>
      <c r="L30" s="33">
        <f t="shared" si="7"/>
        <v>0</v>
      </c>
      <c r="M30" s="11">
        <f t="shared" si="8"/>
        <v>3000000</v>
      </c>
      <c r="N30" s="12">
        <f t="shared" si="9"/>
        <v>4500000</v>
      </c>
    </row>
    <row r="31" spans="1:14" ht="18.75" customHeight="1" thickBot="1">
      <c r="A31" s="43"/>
      <c r="B31" s="47" t="s">
        <v>93</v>
      </c>
      <c r="C31" s="44"/>
      <c r="D31" s="44">
        <f>SUM(D21:D30)</f>
        <v>5525000</v>
      </c>
      <c r="E31" s="45">
        <f>SUM(E21:E30)</f>
        <v>66</v>
      </c>
      <c r="F31" s="46"/>
      <c r="G31" s="44">
        <f>SUM(G21:G30)</f>
        <v>10650000</v>
      </c>
      <c r="H31" s="44">
        <f>SUM(H21:H30)</f>
        <v>16175000</v>
      </c>
      <c r="I31" s="44">
        <f>SUM(I21:I30)</f>
        <v>5275000</v>
      </c>
      <c r="J31" s="45">
        <f>SUM(J21:J30)</f>
        <v>102</v>
      </c>
      <c r="K31" s="46"/>
      <c r="L31" s="44">
        <f>SUM(L21:L30)</f>
        <v>11550000</v>
      </c>
      <c r="M31" s="44">
        <f>SUM(M21:M30)</f>
        <v>16825000</v>
      </c>
      <c r="N31" s="22">
        <f>SUM(N21:N30)</f>
        <v>33000000</v>
      </c>
    </row>
    <row r="32" spans="1:14" ht="16.5" customHeight="1" hidden="1" thickBot="1">
      <c r="A32" s="35"/>
      <c r="B32" s="36"/>
      <c r="C32" s="36"/>
      <c r="D32" s="36"/>
      <c r="E32" s="37"/>
      <c r="F32" s="36"/>
      <c r="G32" s="36"/>
      <c r="H32" s="36"/>
      <c r="I32" s="36"/>
      <c r="J32" s="37"/>
      <c r="K32" s="36"/>
      <c r="L32" s="36"/>
      <c r="M32" s="36"/>
      <c r="N32" s="38"/>
    </row>
    <row r="33" spans="1:14" ht="27.75" customHeight="1" thickBot="1">
      <c r="A33" s="156" t="s">
        <v>63</v>
      </c>
      <c r="B33" s="157"/>
      <c r="C33" s="157"/>
      <c r="D33" s="157"/>
      <c r="E33" s="157"/>
      <c r="F33" s="157"/>
      <c r="G33" s="157"/>
      <c r="H33" s="157"/>
      <c r="I33" s="157"/>
      <c r="J33" s="157"/>
      <c r="K33" s="157"/>
      <c r="L33" s="157"/>
      <c r="M33" s="157"/>
      <c r="N33" s="158"/>
    </row>
    <row r="34" spans="1:14" ht="47.25" customHeight="1">
      <c r="A34" s="23"/>
      <c r="B34" s="57" t="s">
        <v>73</v>
      </c>
      <c r="C34" s="49" t="s">
        <v>74</v>
      </c>
      <c r="D34" s="27">
        <v>2400000</v>
      </c>
      <c r="E34" s="28">
        <v>0</v>
      </c>
      <c r="F34" s="9">
        <v>0</v>
      </c>
      <c r="G34" s="24">
        <f>E34*F34</f>
        <v>0</v>
      </c>
      <c r="H34" s="25">
        <f>SUM(D34,G34)</f>
        <v>2400000</v>
      </c>
      <c r="I34" s="27">
        <v>1200000</v>
      </c>
      <c r="J34" s="28">
        <v>0</v>
      </c>
      <c r="K34" s="9">
        <v>0</v>
      </c>
      <c r="L34" s="24">
        <f>J34*K34</f>
        <v>0</v>
      </c>
      <c r="M34" s="25">
        <f>SUM(I34,L34)</f>
        <v>1200000</v>
      </c>
      <c r="N34" s="12">
        <f>SUM(M34,H34)</f>
        <v>3600000</v>
      </c>
    </row>
    <row r="35" spans="1:18" ht="47.25" customHeight="1">
      <c r="A35" s="23"/>
      <c r="B35" s="57" t="s">
        <v>69</v>
      </c>
      <c r="C35" s="49" t="s">
        <v>75</v>
      </c>
      <c r="D35" s="9">
        <v>0</v>
      </c>
      <c r="E35" s="10">
        <v>15</v>
      </c>
      <c r="F35" s="27">
        <v>150000</v>
      </c>
      <c r="G35" s="24">
        <f>E35*F35</f>
        <v>2250000</v>
      </c>
      <c r="H35" s="25">
        <f>SUM(D35,G35)</f>
        <v>2250000</v>
      </c>
      <c r="I35" s="27">
        <v>0</v>
      </c>
      <c r="J35" s="28">
        <v>15</v>
      </c>
      <c r="K35" s="27">
        <v>150000</v>
      </c>
      <c r="L35" s="24">
        <f>J35*K35</f>
        <v>2250000</v>
      </c>
      <c r="M35" s="25">
        <f>SUM(I35,L35)</f>
        <v>2250000</v>
      </c>
      <c r="N35" s="12">
        <f>SUM(M35,H35)</f>
        <v>4500000</v>
      </c>
      <c r="Q35">
        <v>14</v>
      </c>
      <c r="R35">
        <v>14</v>
      </c>
    </row>
    <row r="36" spans="1:14" ht="47.25" customHeight="1">
      <c r="A36" s="23"/>
      <c r="B36" s="57" t="s">
        <v>61</v>
      </c>
      <c r="C36" s="49" t="s">
        <v>76</v>
      </c>
      <c r="D36" s="27">
        <v>1100000</v>
      </c>
      <c r="E36" s="28">
        <v>0</v>
      </c>
      <c r="F36" s="9">
        <v>0</v>
      </c>
      <c r="G36" s="24">
        <f>E36*F36</f>
        <v>0</v>
      </c>
      <c r="H36" s="25">
        <f>SUM(D36,G36)</f>
        <v>1100000</v>
      </c>
      <c r="I36" s="27">
        <v>600000</v>
      </c>
      <c r="J36" s="28">
        <v>0</v>
      </c>
      <c r="K36" s="9">
        <v>0</v>
      </c>
      <c r="L36" s="24">
        <f>J36*K36</f>
        <v>0</v>
      </c>
      <c r="M36" s="25">
        <f>SUM(I36,L36)</f>
        <v>600000</v>
      </c>
      <c r="N36" s="12">
        <f>SUM(M36,H36)</f>
        <v>1700000</v>
      </c>
    </row>
    <row r="37" spans="1:14" ht="47.25" customHeight="1" thickBot="1">
      <c r="A37" s="23"/>
      <c r="B37" s="57" t="s">
        <v>62</v>
      </c>
      <c r="C37" s="49" t="s">
        <v>77</v>
      </c>
      <c r="D37" s="27">
        <v>500000</v>
      </c>
      <c r="E37" s="28">
        <v>0</v>
      </c>
      <c r="F37" s="9">
        <v>0</v>
      </c>
      <c r="G37" s="24">
        <f>E37*F37</f>
        <v>0</v>
      </c>
      <c r="H37" s="25">
        <f>SUM(D37,G37)</f>
        <v>500000</v>
      </c>
      <c r="I37" s="27">
        <v>500000</v>
      </c>
      <c r="J37" s="28">
        <v>0</v>
      </c>
      <c r="K37" s="9">
        <v>0</v>
      </c>
      <c r="L37" s="24">
        <f>J37*K37</f>
        <v>0</v>
      </c>
      <c r="M37" s="25">
        <f>SUM(I37,L37)</f>
        <v>500000</v>
      </c>
      <c r="N37" s="12">
        <f>SUM(M37,H37)</f>
        <v>1000000</v>
      </c>
    </row>
    <row r="38" spans="1:14" ht="17.25" thickBot="1">
      <c r="A38" s="43"/>
      <c r="B38" s="47" t="s">
        <v>94</v>
      </c>
      <c r="C38" s="44"/>
      <c r="D38" s="44">
        <f>SUM(D34:D37)</f>
        <v>4000000</v>
      </c>
      <c r="E38" s="45">
        <f>SUM(E34:E37)</f>
        <v>15</v>
      </c>
      <c r="F38" s="46"/>
      <c r="G38" s="44">
        <f>SUM(G34:G37)</f>
        <v>2250000</v>
      </c>
      <c r="H38" s="44">
        <f>SUM(H34:H37)</f>
        <v>6250000</v>
      </c>
      <c r="I38" s="44">
        <f>SUM(I34:I37)</f>
        <v>2300000</v>
      </c>
      <c r="J38" s="45">
        <f>SUM(J34:J37)</f>
        <v>15</v>
      </c>
      <c r="K38" s="46"/>
      <c r="L38" s="44">
        <f>SUM(L34:L37)</f>
        <v>2250000</v>
      </c>
      <c r="M38" s="44">
        <f>SUM(M34:M37)</f>
        <v>4550000</v>
      </c>
      <c r="N38" s="22">
        <f>SUM(N34:N37)</f>
        <v>10800000</v>
      </c>
    </row>
    <row r="39" spans="1:14" ht="17.25" thickBot="1">
      <c r="A39" s="31"/>
      <c r="B39" s="39"/>
      <c r="C39" s="39"/>
      <c r="D39" s="39"/>
      <c r="E39" s="40"/>
      <c r="F39" s="39"/>
      <c r="G39" s="39"/>
      <c r="H39" s="39"/>
      <c r="I39" s="41"/>
      <c r="J39" s="40"/>
      <c r="K39" s="39"/>
      <c r="L39" s="39"/>
      <c r="M39" s="39"/>
      <c r="N39" s="42"/>
    </row>
    <row r="40" spans="1:14" ht="20.25" customHeight="1" thickBot="1">
      <c r="A40" s="13"/>
      <c r="B40" s="110" t="s">
        <v>3</v>
      </c>
      <c r="C40" s="14"/>
      <c r="D40" s="16">
        <f>SUM(D18,D31,D38)</f>
        <v>14575000</v>
      </c>
      <c r="E40" s="55">
        <f>SUM(E18,E31,E38)</f>
        <v>1301</v>
      </c>
      <c r="F40" s="15"/>
      <c r="G40" s="16">
        <f>SUM(G18,G31,G38)</f>
        <v>53275000</v>
      </c>
      <c r="H40" s="16">
        <f>SUM(H18,H31,H38)</f>
        <v>67850000</v>
      </c>
      <c r="I40" s="16">
        <f>SUM(I18,I31,I38)</f>
        <v>8275000</v>
      </c>
      <c r="J40" s="55">
        <f>SUM(J18,J31,J38)</f>
        <v>4637</v>
      </c>
      <c r="K40" s="15"/>
      <c r="L40" s="16">
        <f>SUM(L18,L31,L38)</f>
        <v>158800000</v>
      </c>
      <c r="M40" s="16">
        <f>SUM(M18,M31,M38)</f>
        <v>167075000</v>
      </c>
      <c r="N40" s="16">
        <f>SUM(N18,N31,N38)</f>
        <v>234925000</v>
      </c>
    </row>
    <row r="41" spans="2:14" ht="21" customHeight="1" thickBot="1">
      <c r="B41" s="1"/>
      <c r="C41" s="1"/>
      <c r="D41" s="1"/>
      <c r="E41" s="3"/>
      <c r="F41" s="1"/>
      <c r="G41" s="1"/>
      <c r="H41" s="1"/>
      <c r="I41" s="1"/>
      <c r="J41" s="3"/>
      <c r="K41" s="5" t="s">
        <v>3</v>
      </c>
      <c r="L41" s="6"/>
      <c r="M41" s="4"/>
      <c r="N41" s="26">
        <f>N40</f>
        <v>234925000</v>
      </c>
    </row>
    <row r="42" ht="16.5">
      <c r="N42" s="54"/>
    </row>
  </sheetData>
  <sheetProtection/>
  <mergeCells count="15">
    <mergeCell ref="N2:N4"/>
    <mergeCell ref="E3:G3"/>
    <mergeCell ref="H3:H4"/>
    <mergeCell ref="J3:L3"/>
    <mergeCell ref="M3:M4"/>
    <mergeCell ref="A33:N33"/>
    <mergeCell ref="A20:N20"/>
    <mergeCell ref="A2:A4"/>
    <mergeCell ref="D2:H2"/>
    <mergeCell ref="I2:M2"/>
    <mergeCell ref="B2:B4"/>
    <mergeCell ref="C2:C4"/>
    <mergeCell ref="A5:N5"/>
    <mergeCell ref="D3:D4"/>
    <mergeCell ref="I3:I4"/>
  </mergeCells>
  <printOptions horizontalCentered="1"/>
  <pageMargins left="0.236220472440945" right="0.275590551181102" top="0.984251968503937" bottom="0.433070866141732" header="0.551181102362205" footer="0.275590551181102"/>
  <pageSetup fitToHeight="0" horizontalDpi="600" verticalDpi="600" orientation="landscape" paperSize="9" scale="64" r:id="rId1"/>
  <headerFooter alignWithMargins="0">
    <oddHeader>&amp;L&amp;"Trebuchet MS,Regular"&amp;13ANNEX IX: INDICATIVE BUDGET OF THE PROGRAMME
&amp;A</oddHeader>
    <oddFooter>&amp;LDraft Programme on Industrial Upgrading and Modernization in SADC Countries&amp;R&amp;P/&amp;N</oddFooter>
  </headerFooter>
  <rowBreaks count="2" manualBreakCount="2">
    <brk id="19" max="13" man="1"/>
    <brk id="32" max="13" man="1"/>
  </rowBreaks>
</worksheet>
</file>

<file path=xl/worksheets/sheet4.xml><?xml version="1.0" encoding="utf-8"?>
<worksheet xmlns="http://schemas.openxmlformats.org/spreadsheetml/2006/main" xmlns:r="http://schemas.openxmlformats.org/officeDocument/2006/relationships">
  <sheetPr>
    <pageSetUpPr fitToPage="1"/>
  </sheetPr>
  <dimension ref="A2:L45"/>
  <sheetViews>
    <sheetView zoomScaleSheetLayoutView="100" zoomScalePageLayoutView="0" workbookViewId="0" topLeftCell="A1">
      <pane xSplit="1" ySplit="5" topLeftCell="B6" activePane="bottomRight" state="frozen"/>
      <selection pane="topLeft" activeCell="I3" sqref="I3:I4"/>
      <selection pane="topRight" activeCell="I3" sqref="I3:I4"/>
      <selection pane="bottomLeft" activeCell="I3" sqref="I3:I4"/>
      <selection pane="bottomRight" activeCell="F72" sqref="F72"/>
    </sheetView>
  </sheetViews>
  <sheetFormatPr defaultColWidth="9.140625" defaultRowHeight="15"/>
  <cols>
    <col min="1" max="1" width="24.7109375" style="0" customWidth="1"/>
    <col min="2" max="2" width="13.28125" style="0" bestFit="1" customWidth="1"/>
    <col min="3" max="3" width="7.140625" style="2" hidden="1" customWidth="1"/>
    <col min="4" max="4" width="11.00390625" style="0" hidden="1" customWidth="1"/>
    <col min="5" max="6" width="13.28125" style="0" bestFit="1" customWidth="1"/>
    <col min="7" max="7" width="12.140625" style="0" bestFit="1" customWidth="1"/>
    <col min="8" max="8" width="7.140625" style="2" hidden="1" customWidth="1"/>
    <col min="9" max="9" width="10.28125" style="0" hidden="1" customWidth="1"/>
    <col min="10" max="11" width="13.28125" style="0" bestFit="1" customWidth="1"/>
    <col min="12" max="12" width="15.57421875" style="7" customWidth="1"/>
    <col min="14" max="16" width="9.8515625" style="0" bestFit="1" customWidth="1"/>
    <col min="18" max="20" width="9.8515625" style="0" bestFit="1" customWidth="1"/>
  </cols>
  <sheetData>
    <row r="1" ht="6.75" customHeight="1" hidden="1" thickBot="1"/>
    <row r="2" spans="1:12" ht="27.75" customHeight="1">
      <c r="A2" s="181" t="s">
        <v>64</v>
      </c>
      <c r="B2" s="184" t="s">
        <v>95</v>
      </c>
      <c r="C2" s="184"/>
      <c r="D2" s="184"/>
      <c r="E2" s="184"/>
      <c r="F2" s="184"/>
      <c r="G2" s="184" t="s">
        <v>96</v>
      </c>
      <c r="H2" s="184"/>
      <c r="I2" s="184"/>
      <c r="J2" s="184"/>
      <c r="K2" s="184"/>
      <c r="L2" s="183" t="s">
        <v>65</v>
      </c>
    </row>
    <row r="3" spans="1:12" ht="34.5" customHeight="1">
      <c r="A3" s="182"/>
      <c r="B3" s="126" t="s">
        <v>72</v>
      </c>
      <c r="C3" s="126" t="s">
        <v>24</v>
      </c>
      <c r="D3" s="126"/>
      <c r="E3" s="179" t="s">
        <v>71</v>
      </c>
      <c r="F3" s="185" t="s">
        <v>70</v>
      </c>
      <c r="G3" s="126" t="s">
        <v>72</v>
      </c>
      <c r="H3" s="126" t="s">
        <v>24</v>
      </c>
      <c r="I3" s="126"/>
      <c r="J3" s="179" t="s">
        <v>71</v>
      </c>
      <c r="K3" s="185" t="s">
        <v>70</v>
      </c>
      <c r="L3" s="183"/>
    </row>
    <row r="4" spans="1:12" ht="33" customHeight="1" hidden="1" thickBot="1">
      <c r="A4" s="182"/>
      <c r="B4" s="127" t="s">
        <v>2</v>
      </c>
      <c r="C4" s="128" t="s">
        <v>0</v>
      </c>
      <c r="D4" s="127" t="s">
        <v>1</v>
      </c>
      <c r="E4" s="179"/>
      <c r="F4" s="185"/>
      <c r="G4" s="127" t="s">
        <v>2</v>
      </c>
      <c r="H4" s="128" t="s">
        <v>0</v>
      </c>
      <c r="I4" s="127" t="s">
        <v>1</v>
      </c>
      <c r="J4" s="179"/>
      <c r="K4" s="185"/>
      <c r="L4" s="125"/>
    </row>
    <row r="5" spans="1:12" ht="30" customHeight="1" hidden="1" thickBot="1">
      <c r="A5" s="129"/>
      <c r="B5" s="129"/>
      <c r="C5" s="129"/>
      <c r="D5" s="129"/>
      <c r="E5" s="129"/>
      <c r="F5" s="129"/>
      <c r="G5" s="129"/>
      <c r="H5" s="129"/>
      <c r="I5" s="129"/>
      <c r="J5" s="129"/>
      <c r="K5" s="129"/>
      <c r="L5" s="129"/>
    </row>
    <row r="6" spans="1:12" ht="165.75" hidden="1">
      <c r="A6" s="130" t="s">
        <v>25</v>
      </c>
      <c r="B6" s="115">
        <v>50000</v>
      </c>
      <c r="C6" s="116">
        <v>20</v>
      </c>
      <c r="D6" s="115"/>
      <c r="E6" s="117">
        <f aca="true" t="shared" si="0" ref="E6:E17">C6*D6</f>
        <v>0</v>
      </c>
      <c r="F6" s="118">
        <f aca="true" t="shared" si="1" ref="F6:F17">SUM(B6,E6)</f>
        <v>50000</v>
      </c>
      <c r="G6" s="115">
        <v>0</v>
      </c>
      <c r="H6" s="116">
        <v>20</v>
      </c>
      <c r="I6" s="115">
        <v>50000</v>
      </c>
      <c r="J6" s="117">
        <f aca="true" t="shared" si="2" ref="J6:J17">H6*I6</f>
        <v>1000000</v>
      </c>
      <c r="K6" s="118">
        <f aca="true" t="shared" si="3" ref="K6:K17">SUM(G6,J6)</f>
        <v>1000000</v>
      </c>
      <c r="L6" s="131">
        <f aca="true" t="shared" si="4" ref="L6:L17">SUM(K6,F6)</f>
        <v>1050000</v>
      </c>
    </row>
    <row r="7" spans="1:12" ht="51" hidden="1">
      <c r="A7" s="130" t="s">
        <v>26</v>
      </c>
      <c r="B7" s="115"/>
      <c r="C7" s="116">
        <v>150</v>
      </c>
      <c r="D7" s="115">
        <v>80000</v>
      </c>
      <c r="E7" s="117">
        <f t="shared" si="0"/>
        <v>12000000</v>
      </c>
      <c r="F7" s="118">
        <f t="shared" si="1"/>
        <v>12000000</v>
      </c>
      <c r="G7" s="115">
        <v>0</v>
      </c>
      <c r="H7" s="116">
        <v>600</v>
      </c>
      <c r="I7" s="115">
        <v>80000</v>
      </c>
      <c r="J7" s="117">
        <f t="shared" si="2"/>
        <v>48000000</v>
      </c>
      <c r="K7" s="118">
        <f t="shared" si="3"/>
        <v>48000000</v>
      </c>
      <c r="L7" s="131">
        <f t="shared" si="4"/>
        <v>60000000</v>
      </c>
    </row>
    <row r="8" spans="1:12" ht="76.5" hidden="1">
      <c r="A8" s="130" t="s">
        <v>27</v>
      </c>
      <c r="B8" s="115">
        <v>0</v>
      </c>
      <c r="C8" s="116">
        <v>350</v>
      </c>
      <c r="D8" s="115">
        <v>47500</v>
      </c>
      <c r="E8" s="117">
        <f t="shared" si="0"/>
        <v>16625000</v>
      </c>
      <c r="F8" s="118">
        <f t="shared" si="1"/>
        <v>16625000</v>
      </c>
      <c r="G8" s="115">
        <v>0</v>
      </c>
      <c r="H8" s="116">
        <v>1400</v>
      </c>
      <c r="I8" s="115">
        <v>47500</v>
      </c>
      <c r="J8" s="117">
        <f t="shared" si="2"/>
        <v>66500000</v>
      </c>
      <c r="K8" s="118">
        <f t="shared" si="3"/>
        <v>66500000</v>
      </c>
      <c r="L8" s="131">
        <f t="shared" si="4"/>
        <v>83125000</v>
      </c>
    </row>
    <row r="9" spans="1:12" ht="204" hidden="1">
      <c r="A9" s="130" t="s">
        <v>28</v>
      </c>
      <c r="B9" s="115">
        <v>400000</v>
      </c>
      <c r="C9" s="116">
        <v>0</v>
      </c>
      <c r="D9" s="115"/>
      <c r="E9" s="117">
        <f t="shared" si="0"/>
        <v>0</v>
      </c>
      <c r="F9" s="118">
        <f t="shared" si="1"/>
        <v>400000</v>
      </c>
      <c r="G9" s="115">
        <v>300000</v>
      </c>
      <c r="H9" s="116">
        <v>0</v>
      </c>
      <c r="I9" s="115"/>
      <c r="J9" s="117">
        <f t="shared" si="2"/>
        <v>0</v>
      </c>
      <c r="K9" s="118">
        <f t="shared" si="3"/>
        <v>300000</v>
      </c>
      <c r="L9" s="131">
        <f t="shared" si="4"/>
        <v>700000</v>
      </c>
    </row>
    <row r="10" spans="1:12" ht="76.5" hidden="1">
      <c r="A10" s="130" t="s">
        <v>29</v>
      </c>
      <c r="B10" s="115">
        <v>700000</v>
      </c>
      <c r="C10" s="116">
        <v>0</v>
      </c>
      <c r="D10" s="115"/>
      <c r="E10" s="117">
        <f t="shared" si="0"/>
        <v>0</v>
      </c>
      <c r="F10" s="118">
        <f t="shared" si="1"/>
        <v>700000</v>
      </c>
      <c r="G10" s="115">
        <v>0</v>
      </c>
      <c r="H10" s="116">
        <v>0</v>
      </c>
      <c r="I10" s="115"/>
      <c r="J10" s="117">
        <f t="shared" si="2"/>
        <v>0</v>
      </c>
      <c r="K10" s="118">
        <f t="shared" si="3"/>
        <v>0</v>
      </c>
      <c r="L10" s="131">
        <f t="shared" si="4"/>
        <v>700000</v>
      </c>
    </row>
    <row r="11" spans="1:12" ht="89.25" hidden="1">
      <c r="A11" s="130" t="s">
        <v>30</v>
      </c>
      <c r="B11" s="115">
        <v>300000</v>
      </c>
      <c r="C11" s="116">
        <v>0</v>
      </c>
      <c r="D11" s="115"/>
      <c r="E11" s="117">
        <f t="shared" si="0"/>
        <v>0</v>
      </c>
      <c r="F11" s="118">
        <f t="shared" si="1"/>
        <v>300000</v>
      </c>
      <c r="G11" s="115">
        <v>0</v>
      </c>
      <c r="H11" s="116">
        <v>0</v>
      </c>
      <c r="I11" s="115"/>
      <c r="J11" s="117">
        <f t="shared" si="2"/>
        <v>0</v>
      </c>
      <c r="K11" s="118">
        <f t="shared" si="3"/>
        <v>0</v>
      </c>
      <c r="L11" s="131">
        <f t="shared" si="4"/>
        <v>300000</v>
      </c>
    </row>
    <row r="12" spans="1:12" ht="216.75" hidden="1">
      <c r="A12" s="130" t="s">
        <v>31</v>
      </c>
      <c r="B12" s="115">
        <v>300000</v>
      </c>
      <c r="C12" s="116">
        <v>0</v>
      </c>
      <c r="D12" s="115"/>
      <c r="E12" s="117">
        <f t="shared" si="0"/>
        <v>0</v>
      </c>
      <c r="F12" s="118">
        <f t="shared" si="1"/>
        <v>300000</v>
      </c>
      <c r="G12" s="115">
        <v>300000</v>
      </c>
      <c r="H12" s="116">
        <v>0</v>
      </c>
      <c r="I12" s="115"/>
      <c r="J12" s="117">
        <f t="shared" si="2"/>
        <v>0</v>
      </c>
      <c r="K12" s="118">
        <f t="shared" si="3"/>
        <v>300000</v>
      </c>
      <c r="L12" s="131">
        <f t="shared" si="4"/>
        <v>600000</v>
      </c>
    </row>
    <row r="13" spans="1:12" ht="76.5" hidden="1">
      <c r="A13" s="130" t="s">
        <v>32</v>
      </c>
      <c r="B13" s="115">
        <v>800000</v>
      </c>
      <c r="C13" s="116">
        <v>0</v>
      </c>
      <c r="D13" s="115"/>
      <c r="E13" s="117">
        <f t="shared" si="0"/>
        <v>0</v>
      </c>
      <c r="F13" s="118">
        <f t="shared" si="1"/>
        <v>800000</v>
      </c>
      <c r="G13" s="115">
        <v>0</v>
      </c>
      <c r="H13" s="116">
        <v>0</v>
      </c>
      <c r="I13" s="115"/>
      <c r="J13" s="117">
        <f t="shared" si="2"/>
        <v>0</v>
      </c>
      <c r="K13" s="118">
        <f t="shared" si="3"/>
        <v>0</v>
      </c>
      <c r="L13" s="131">
        <f t="shared" si="4"/>
        <v>800000</v>
      </c>
    </row>
    <row r="14" spans="1:12" ht="89.25" hidden="1">
      <c r="A14" s="130" t="s">
        <v>33</v>
      </c>
      <c r="B14" s="115">
        <v>0</v>
      </c>
      <c r="C14" s="116">
        <v>0</v>
      </c>
      <c r="D14" s="115"/>
      <c r="E14" s="117">
        <f t="shared" si="0"/>
        <v>0</v>
      </c>
      <c r="F14" s="118">
        <f t="shared" si="1"/>
        <v>0</v>
      </c>
      <c r="G14" s="115">
        <v>0</v>
      </c>
      <c r="H14" s="116">
        <v>0</v>
      </c>
      <c r="I14" s="115"/>
      <c r="J14" s="117">
        <f t="shared" si="2"/>
        <v>0</v>
      </c>
      <c r="K14" s="118">
        <f t="shared" si="3"/>
        <v>0</v>
      </c>
      <c r="L14" s="131">
        <f t="shared" si="4"/>
        <v>0</v>
      </c>
    </row>
    <row r="15" spans="1:12" ht="76.5" hidden="1">
      <c r="A15" s="130" t="s">
        <v>34</v>
      </c>
      <c r="B15" s="115">
        <v>500000</v>
      </c>
      <c r="C15" s="116">
        <v>0</v>
      </c>
      <c r="D15" s="115"/>
      <c r="E15" s="117">
        <f t="shared" si="0"/>
        <v>0</v>
      </c>
      <c r="F15" s="118">
        <f t="shared" si="1"/>
        <v>500000</v>
      </c>
      <c r="G15" s="115">
        <v>0</v>
      </c>
      <c r="H15" s="116">
        <v>0</v>
      </c>
      <c r="I15" s="115"/>
      <c r="J15" s="117">
        <f t="shared" si="2"/>
        <v>0</v>
      </c>
      <c r="K15" s="118">
        <f t="shared" si="3"/>
        <v>0</v>
      </c>
      <c r="L15" s="131">
        <f t="shared" si="4"/>
        <v>500000</v>
      </c>
    </row>
    <row r="16" spans="1:12" ht="153" hidden="1">
      <c r="A16" s="130" t="s">
        <v>35</v>
      </c>
      <c r="B16" s="115">
        <v>200000</v>
      </c>
      <c r="C16" s="116">
        <v>500</v>
      </c>
      <c r="D16" s="115">
        <v>10000</v>
      </c>
      <c r="E16" s="117">
        <f t="shared" si="0"/>
        <v>5000000</v>
      </c>
      <c r="F16" s="118">
        <f t="shared" si="1"/>
        <v>5200000</v>
      </c>
      <c r="G16" s="115">
        <v>200000</v>
      </c>
      <c r="H16" s="116">
        <v>2000</v>
      </c>
      <c r="I16" s="115">
        <v>10000</v>
      </c>
      <c r="J16" s="117">
        <f t="shared" si="2"/>
        <v>20000000</v>
      </c>
      <c r="K16" s="118">
        <f t="shared" si="3"/>
        <v>20200000</v>
      </c>
      <c r="L16" s="131">
        <f t="shared" si="4"/>
        <v>25400000</v>
      </c>
    </row>
    <row r="17" spans="1:12" ht="63.75" hidden="1">
      <c r="A17" s="130" t="s">
        <v>36</v>
      </c>
      <c r="B17" s="115">
        <v>300000</v>
      </c>
      <c r="C17" s="116">
        <v>0</v>
      </c>
      <c r="D17" s="115"/>
      <c r="E17" s="117">
        <f t="shared" si="0"/>
        <v>0</v>
      </c>
      <c r="F17" s="118">
        <f t="shared" si="1"/>
        <v>300000</v>
      </c>
      <c r="G17" s="115">
        <v>300000</v>
      </c>
      <c r="H17" s="116">
        <v>0</v>
      </c>
      <c r="I17" s="115"/>
      <c r="J17" s="117">
        <f t="shared" si="2"/>
        <v>0</v>
      </c>
      <c r="K17" s="118">
        <f t="shared" si="3"/>
        <v>300000</v>
      </c>
      <c r="L17" s="131">
        <f t="shared" si="4"/>
        <v>600000</v>
      </c>
    </row>
    <row r="18" spans="1:12" ht="15" customHeight="1" hidden="1" thickBot="1">
      <c r="A18" s="119"/>
      <c r="B18" s="115"/>
      <c r="C18" s="116"/>
      <c r="D18" s="115"/>
      <c r="E18" s="117"/>
      <c r="F18" s="132"/>
      <c r="G18" s="115"/>
      <c r="H18" s="116"/>
      <c r="I18" s="115"/>
      <c r="J18" s="117"/>
      <c r="K18" s="132"/>
      <c r="L18" s="133"/>
    </row>
    <row r="19" spans="1:12" ht="18.75" customHeight="1">
      <c r="A19" s="134" t="s">
        <v>66</v>
      </c>
      <c r="B19" s="119">
        <f>'Scenario 1'!D18</f>
        <v>5050000</v>
      </c>
      <c r="C19" s="120">
        <v>500</v>
      </c>
      <c r="D19" s="119"/>
      <c r="E19" s="119">
        <f>'Scenario 1'!G18</f>
        <v>20687500</v>
      </c>
      <c r="F19" s="121">
        <f>'Scenario 1'!H18</f>
        <v>25737500</v>
      </c>
      <c r="G19" s="122">
        <f>'Scenario 1'!I18</f>
        <v>700000</v>
      </c>
      <c r="H19" s="123">
        <f>'Scenario 1'!J18</f>
        <v>2270</v>
      </c>
      <c r="I19" s="122">
        <f>'Scenario 1'!K18</f>
        <v>0</v>
      </c>
      <c r="J19" s="119">
        <f>'Scenario 1'!L18</f>
        <v>73000000</v>
      </c>
      <c r="K19" s="121">
        <f>'Scenario 1'!M18</f>
        <v>73700000</v>
      </c>
      <c r="L19" s="131">
        <f>'Scenario 1'!N18</f>
        <v>99437500</v>
      </c>
    </row>
    <row r="20" spans="1:12" ht="32.25" customHeight="1" hidden="1" thickBot="1">
      <c r="A20" s="180"/>
      <c r="B20" s="180"/>
      <c r="C20" s="180"/>
      <c r="D20" s="180"/>
      <c r="E20" s="180"/>
      <c r="F20" s="180"/>
      <c r="G20" s="180"/>
      <c r="H20" s="180"/>
      <c r="I20" s="180"/>
      <c r="J20" s="180"/>
      <c r="K20" s="180"/>
      <c r="L20" s="180"/>
    </row>
    <row r="21" spans="1:12" ht="166.5" customHeight="1" hidden="1" thickBot="1">
      <c r="A21" s="130" t="s">
        <v>37</v>
      </c>
      <c r="B21" s="119">
        <v>0</v>
      </c>
      <c r="C21" s="120">
        <v>7</v>
      </c>
      <c r="D21" s="119">
        <v>500000</v>
      </c>
      <c r="E21" s="119">
        <f aca="true" t="shared" si="5" ref="E21:E29">C21*D21</f>
        <v>3500000</v>
      </c>
      <c r="F21" s="121">
        <f aca="true" t="shared" si="6" ref="F21:F29">SUM(B21,E21)</f>
        <v>3500000</v>
      </c>
      <c r="G21" s="119">
        <v>0</v>
      </c>
      <c r="H21" s="120">
        <v>13</v>
      </c>
      <c r="I21" s="119">
        <v>500000</v>
      </c>
      <c r="J21" s="119">
        <f aca="true" t="shared" si="7" ref="J21:J29">H21*I21</f>
        <v>6500000</v>
      </c>
      <c r="K21" s="121">
        <f aca="true" t="shared" si="8" ref="K21:K29">SUM(G21,J21)</f>
        <v>6500000</v>
      </c>
      <c r="L21" s="121">
        <f aca="true" t="shared" si="9" ref="L21:L29">SUM(K21,F21)</f>
        <v>10000000</v>
      </c>
    </row>
    <row r="22" spans="1:12" ht="39" customHeight="1" hidden="1">
      <c r="A22" s="130" t="s">
        <v>38</v>
      </c>
      <c r="B22" s="119">
        <v>0</v>
      </c>
      <c r="C22" s="120">
        <v>0</v>
      </c>
      <c r="D22" s="119"/>
      <c r="E22" s="119">
        <f t="shared" si="5"/>
        <v>0</v>
      </c>
      <c r="F22" s="121">
        <f t="shared" si="6"/>
        <v>0</v>
      </c>
      <c r="G22" s="119">
        <v>0</v>
      </c>
      <c r="H22" s="120">
        <v>0</v>
      </c>
      <c r="I22" s="119"/>
      <c r="J22" s="119">
        <f t="shared" si="7"/>
        <v>0</v>
      </c>
      <c r="K22" s="121">
        <f t="shared" si="8"/>
        <v>0</v>
      </c>
      <c r="L22" s="121">
        <f t="shared" si="9"/>
        <v>0</v>
      </c>
    </row>
    <row r="23" spans="1:12" ht="64.5" customHeight="1" hidden="1">
      <c r="A23" s="130" t="s">
        <v>39</v>
      </c>
      <c r="B23" s="119">
        <v>0</v>
      </c>
      <c r="C23" s="120">
        <v>0</v>
      </c>
      <c r="D23" s="119"/>
      <c r="E23" s="119">
        <f t="shared" si="5"/>
        <v>0</v>
      </c>
      <c r="F23" s="121">
        <f t="shared" si="6"/>
        <v>0</v>
      </c>
      <c r="G23" s="119">
        <v>0</v>
      </c>
      <c r="H23" s="120">
        <v>0</v>
      </c>
      <c r="I23" s="119"/>
      <c r="J23" s="119">
        <f t="shared" si="7"/>
        <v>0</v>
      </c>
      <c r="K23" s="121">
        <f t="shared" si="8"/>
        <v>0</v>
      </c>
      <c r="L23" s="121">
        <f t="shared" si="9"/>
        <v>0</v>
      </c>
    </row>
    <row r="24" spans="1:12" ht="39" customHeight="1" hidden="1">
      <c r="A24" s="130" t="s">
        <v>40</v>
      </c>
      <c r="B24" s="119">
        <v>0</v>
      </c>
      <c r="C24" s="120">
        <v>0</v>
      </c>
      <c r="D24" s="119"/>
      <c r="E24" s="119">
        <f t="shared" si="5"/>
        <v>0</v>
      </c>
      <c r="F24" s="121">
        <f t="shared" si="6"/>
        <v>0</v>
      </c>
      <c r="G24" s="119">
        <v>0</v>
      </c>
      <c r="H24" s="120">
        <v>0</v>
      </c>
      <c r="I24" s="119"/>
      <c r="J24" s="119">
        <f t="shared" si="7"/>
        <v>0</v>
      </c>
      <c r="K24" s="121">
        <f t="shared" si="8"/>
        <v>0</v>
      </c>
      <c r="L24" s="121">
        <f t="shared" si="9"/>
        <v>0</v>
      </c>
    </row>
    <row r="25" spans="1:12" ht="39" customHeight="1" hidden="1">
      <c r="A25" s="130" t="s">
        <v>41</v>
      </c>
      <c r="B25" s="119">
        <v>300000</v>
      </c>
      <c r="C25" s="120">
        <v>0</v>
      </c>
      <c r="D25" s="119"/>
      <c r="E25" s="119">
        <f t="shared" si="5"/>
        <v>0</v>
      </c>
      <c r="F25" s="121">
        <f t="shared" si="6"/>
        <v>300000</v>
      </c>
      <c r="G25" s="119">
        <v>300000</v>
      </c>
      <c r="H25" s="120">
        <v>0</v>
      </c>
      <c r="I25" s="119"/>
      <c r="J25" s="119">
        <f t="shared" si="7"/>
        <v>0</v>
      </c>
      <c r="K25" s="121">
        <f t="shared" si="8"/>
        <v>300000</v>
      </c>
      <c r="L25" s="121">
        <f t="shared" si="9"/>
        <v>600000</v>
      </c>
    </row>
    <row r="26" spans="1:12" ht="77.25" customHeight="1" hidden="1">
      <c r="A26" s="130" t="s">
        <v>42</v>
      </c>
      <c r="B26" s="119">
        <v>0</v>
      </c>
      <c r="C26" s="120">
        <v>0</v>
      </c>
      <c r="D26" s="119"/>
      <c r="E26" s="119">
        <f t="shared" si="5"/>
        <v>0</v>
      </c>
      <c r="F26" s="121">
        <f t="shared" si="6"/>
        <v>0</v>
      </c>
      <c r="G26" s="119">
        <v>0</v>
      </c>
      <c r="H26" s="120">
        <v>0</v>
      </c>
      <c r="I26" s="119"/>
      <c r="J26" s="119">
        <f t="shared" si="7"/>
        <v>0</v>
      </c>
      <c r="K26" s="121">
        <f t="shared" si="8"/>
        <v>0</v>
      </c>
      <c r="L26" s="121">
        <f t="shared" si="9"/>
        <v>0</v>
      </c>
    </row>
    <row r="27" spans="1:12" ht="51.75" customHeight="1" hidden="1">
      <c r="A27" s="130" t="s">
        <v>43</v>
      </c>
      <c r="B27" s="119">
        <v>200000</v>
      </c>
      <c r="C27" s="120">
        <v>3</v>
      </c>
      <c r="D27" s="119">
        <v>70000</v>
      </c>
      <c r="E27" s="119">
        <f t="shared" si="5"/>
        <v>210000</v>
      </c>
      <c r="F27" s="121">
        <f t="shared" si="6"/>
        <v>410000</v>
      </c>
      <c r="G27" s="119">
        <v>200000</v>
      </c>
      <c r="H27" s="120">
        <v>20</v>
      </c>
      <c r="I27" s="119">
        <v>70000</v>
      </c>
      <c r="J27" s="119">
        <f t="shared" si="7"/>
        <v>1400000</v>
      </c>
      <c r="K27" s="121">
        <f t="shared" si="8"/>
        <v>1600000</v>
      </c>
      <c r="L27" s="121">
        <f t="shared" si="9"/>
        <v>2010000</v>
      </c>
    </row>
    <row r="28" spans="1:12" ht="39" customHeight="1" hidden="1">
      <c r="A28" s="130" t="s">
        <v>44</v>
      </c>
      <c r="B28" s="119">
        <v>200000</v>
      </c>
      <c r="C28" s="120">
        <v>20</v>
      </c>
      <c r="D28" s="119">
        <v>15000</v>
      </c>
      <c r="E28" s="119">
        <f t="shared" si="5"/>
        <v>300000</v>
      </c>
      <c r="F28" s="121">
        <f t="shared" si="6"/>
        <v>500000</v>
      </c>
      <c r="G28" s="119">
        <v>400000</v>
      </c>
      <c r="H28" s="120">
        <v>40</v>
      </c>
      <c r="I28" s="119">
        <v>15000</v>
      </c>
      <c r="J28" s="119">
        <f t="shared" si="7"/>
        <v>600000</v>
      </c>
      <c r="K28" s="121">
        <f t="shared" si="8"/>
        <v>1000000</v>
      </c>
      <c r="L28" s="121">
        <f t="shared" si="9"/>
        <v>1500000</v>
      </c>
    </row>
    <row r="29" spans="1:12" ht="17.25" customHeight="1" hidden="1">
      <c r="A29" s="130" t="s">
        <v>45</v>
      </c>
      <c r="B29" s="119">
        <v>1000000</v>
      </c>
      <c r="C29" s="120">
        <v>0</v>
      </c>
      <c r="D29" s="119"/>
      <c r="E29" s="119">
        <f t="shared" si="5"/>
        <v>0</v>
      </c>
      <c r="F29" s="121">
        <f t="shared" si="6"/>
        <v>1000000</v>
      </c>
      <c r="G29" s="119">
        <v>1000000</v>
      </c>
      <c r="H29" s="120">
        <v>0</v>
      </c>
      <c r="I29" s="119"/>
      <c r="J29" s="119">
        <f t="shared" si="7"/>
        <v>0</v>
      </c>
      <c r="K29" s="121">
        <f t="shared" si="8"/>
        <v>1000000</v>
      </c>
      <c r="L29" s="121">
        <f t="shared" si="9"/>
        <v>2000000</v>
      </c>
    </row>
    <row r="30" spans="1:12" ht="9.75" customHeight="1" hidden="1">
      <c r="A30" s="119"/>
      <c r="B30" s="119"/>
      <c r="C30" s="120"/>
      <c r="D30" s="119"/>
      <c r="E30" s="119"/>
      <c r="F30" s="119"/>
      <c r="G30" s="119"/>
      <c r="H30" s="120"/>
      <c r="I30" s="119"/>
      <c r="J30" s="119"/>
      <c r="K30" s="119"/>
      <c r="L30" s="119"/>
    </row>
    <row r="31" spans="1:12" ht="18.75" customHeight="1">
      <c r="A31" s="134" t="s">
        <v>67</v>
      </c>
      <c r="B31" s="119">
        <f>'Scenario 1'!D31</f>
        <v>5525000</v>
      </c>
      <c r="C31" s="120">
        <f>'Scenario 1'!E31</f>
        <v>66</v>
      </c>
      <c r="D31" s="119">
        <f>'Scenario 1'!F31</f>
        <v>0</v>
      </c>
      <c r="E31" s="119">
        <f>'Scenario 1'!G31</f>
        <v>10650000</v>
      </c>
      <c r="F31" s="121">
        <f>'Scenario 1'!H31</f>
        <v>16175000</v>
      </c>
      <c r="G31" s="122">
        <f>'Scenario 1'!I31</f>
        <v>5275000</v>
      </c>
      <c r="H31" s="123">
        <f>'Scenario 1'!J31</f>
        <v>102</v>
      </c>
      <c r="I31" s="122">
        <f>'Scenario 1'!K31</f>
        <v>0</v>
      </c>
      <c r="J31" s="119">
        <f>'Scenario 1'!L31</f>
        <v>11550000</v>
      </c>
      <c r="K31" s="121">
        <f>'Scenario 1'!M31</f>
        <v>16825000</v>
      </c>
      <c r="L31" s="131">
        <f>'Scenario 1'!N31</f>
        <v>33000000</v>
      </c>
    </row>
    <row r="32" spans="1:12" ht="14.25" customHeight="1">
      <c r="A32" s="135"/>
      <c r="B32" s="136"/>
      <c r="C32" s="136"/>
      <c r="D32" s="136"/>
      <c r="E32" s="136"/>
      <c r="F32" s="136"/>
      <c r="G32" s="136"/>
      <c r="H32" s="136"/>
      <c r="I32" s="135"/>
      <c r="J32" s="136"/>
      <c r="K32" s="136"/>
      <c r="L32" s="136"/>
    </row>
    <row r="33" spans="1:12" ht="19.5" customHeight="1">
      <c r="A33" s="176" t="s">
        <v>68</v>
      </c>
      <c r="B33" s="177"/>
      <c r="C33" s="177"/>
      <c r="D33" s="177"/>
      <c r="E33" s="177"/>
      <c r="F33" s="177"/>
      <c r="G33" s="177"/>
      <c r="H33" s="177"/>
      <c r="I33" s="177"/>
      <c r="J33" s="177"/>
      <c r="K33" s="177"/>
      <c r="L33" s="178"/>
    </row>
    <row r="34" spans="1:12" ht="15">
      <c r="A34" s="134" t="s">
        <v>73</v>
      </c>
      <c r="B34" s="119">
        <f>'Scenario 1'!D34</f>
        <v>2000000</v>
      </c>
      <c r="C34" s="120">
        <f>'Scenario 1'!E34</f>
        <v>0</v>
      </c>
      <c r="D34" s="119">
        <f>'Scenario 1'!F34</f>
        <v>0</v>
      </c>
      <c r="E34" s="119">
        <f>'Scenario 1'!G34</f>
        <v>0</v>
      </c>
      <c r="F34" s="121">
        <f>B34+E34</f>
        <v>2000000</v>
      </c>
      <c r="G34" s="122">
        <f>'Scenario 1'!I34</f>
        <v>1000000</v>
      </c>
      <c r="H34" s="123">
        <f>'Scenario 1'!J34</f>
        <v>0</v>
      </c>
      <c r="I34" s="122">
        <f>'Scenario 1'!K34</f>
        <v>0</v>
      </c>
      <c r="J34" s="119">
        <f>'Scenario 1'!L34</f>
        <v>0</v>
      </c>
      <c r="K34" s="121">
        <f>G34+J34</f>
        <v>1000000</v>
      </c>
      <c r="L34" s="131">
        <f>SUM(F34,K34)</f>
        <v>3000000</v>
      </c>
    </row>
    <row r="35" spans="1:12" ht="15">
      <c r="A35" s="134" t="s">
        <v>69</v>
      </c>
      <c r="B35" s="119">
        <f>'Scenario 1'!D35</f>
        <v>0</v>
      </c>
      <c r="C35" s="120">
        <f>'Scenario 1'!E35</f>
        <v>15</v>
      </c>
      <c r="D35" s="119">
        <f>'Scenario 1'!F35</f>
        <v>150000</v>
      </c>
      <c r="E35" s="119">
        <f>'Scenario 1'!G35</f>
        <v>2250000</v>
      </c>
      <c r="F35" s="121">
        <f>B35+E35</f>
        <v>2250000</v>
      </c>
      <c r="G35" s="122">
        <f>'Scenario 1'!I35</f>
        <v>0</v>
      </c>
      <c r="H35" s="123">
        <f>'Scenario 1'!J35</f>
        <v>15</v>
      </c>
      <c r="I35" s="122">
        <f>'Scenario 1'!K35</f>
        <v>150000</v>
      </c>
      <c r="J35" s="119">
        <f>'Scenario 1'!L35</f>
        <v>2250000</v>
      </c>
      <c r="K35" s="121">
        <f>G35+J35</f>
        <v>2250000</v>
      </c>
      <c r="L35" s="131">
        <f>SUM(F35,K35)</f>
        <v>4500000</v>
      </c>
    </row>
    <row r="36" spans="1:12" ht="15">
      <c r="A36" s="134" t="s">
        <v>61</v>
      </c>
      <c r="B36" s="119">
        <f>'Scenario 1'!D36</f>
        <v>700000</v>
      </c>
      <c r="C36" s="120">
        <f>'Scenario 1'!E36</f>
        <v>0</v>
      </c>
      <c r="D36" s="119">
        <f>'Scenario 1'!F36</f>
        <v>0</v>
      </c>
      <c r="E36" s="119">
        <f>'Scenario 1'!G36</f>
        <v>0</v>
      </c>
      <c r="F36" s="121">
        <f>B36+E36</f>
        <v>700000</v>
      </c>
      <c r="G36" s="122">
        <f>'Scenario 1'!I36</f>
        <v>400000</v>
      </c>
      <c r="H36" s="123">
        <f>'Scenario 1'!J36</f>
        <v>0</v>
      </c>
      <c r="I36" s="122">
        <f>'Scenario 1'!K36</f>
        <v>0</v>
      </c>
      <c r="J36" s="119">
        <f>'Scenario 1'!L36</f>
        <v>0</v>
      </c>
      <c r="K36" s="121">
        <f>G36+J36</f>
        <v>400000</v>
      </c>
      <c r="L36" s="131">
        <f>SUM(F36,K36)</f>
        <v>1100000</v>
      </c>
    </row>
    <row r="37" spans="1:12" ht="15">
      <c r="A37" s="134" t="s">
        <v>62</v>
      </c>
      <c r="B37" s="119">
        <f>'Scenario 1'!D37</f>
        <v>500000</v>
      </c>
      <c r="C37" s="120">
        <f>'Scenario 1'!E37</f>
        <v>0</v>
      </c>
      <c r="D37" s="119">
        <f>'Scenario 1'!F37</f>
        <v>0</v>
      </c>
      <c r="E37" s="119">
        <f>'Scenario 1'!G37</f>
        <v>0</v>
      </c>
      <c r="F37" s="121">
        <f>B37+E37</f>
        <v>500000</v>
      </c>
      <c r="G37" s="122">
        <f>'Scenario 1'!I37</f>
        <v>500000</v>
      </c>
      <c r="H37" s="123">
        <f>'Scenario 1'!J37</f>
        <v>0</v>
      </c>
      <c r="I37" s="122">
        <f>'Scenario 1'!K37</f>
        <v>0</v>
      </c>
      <c r="J37" s="119">
        <f>'Scenario 1'!L37</f>
        <v>0</v>
      </c>
      <c r="K37" s="121">
        <f>G37+J37</f>
        <v>500000</v>
      </c>
      <c r="L37" s="131">
        <f>SUM(F37,K37)</f>
        <v>1000000</v>
      </c>
    </row>
    <row r="38" spans="1:12" ht="16.5" customHeight="1">
      <c r="A38" s="137"/>
      <c r="B38" s="138">
        <f>SUM(B34:B37)</f>
        <v>3200000</v>
      </c>
      <c r="C38" s="139">
        <v>36</v>
      </c>
      <c r="D38" s="138"/>
      <c r="E38" s="138">
        <f aca="true" t="shared" si="10" ref="E38:K38">SUM(E34:E37)</f>
        <v>2250000</v>
      </c>
      <c r="F38" s="138">
        <f t="shared" si="10"/>
        <v>5450000</v>
      </c>
      <c r="G38" s="138">
        <f t="shared" si="10"/>
        <v>1900000</v>
      </c>
      <c r="H38" s="139">
        <f t="shared" si="10"/>
        <v>15</v>
      </c>
      <c r="I38" s="138">
        <f t="shared" si="10"/>
        <v>150000</v>
      </c>
      <c r="J38" s="138">
        <f t="shared" si="10"/>
        <v>2250000</v>
      </c>
      <c r="K38" s="138">
        <f t="shared" si="10"/>
        <v>4150000</v>
      </c>
      <c r="L38" s="138">
        <f>SUM(L34:L37)</f>
        <v>9600000</v>
      </c>
    </row>
    <row r="39" spans="1:12" ht="11.25" customHeight="1" thickBot="1">
      <c r="A39" s="140"/>
      <c r="B39" s="140"/>
      <c r="C39" s="141"/>
      <c r="D39" s="140"/>
      <c r="E39" s="140"/>
      <c r="F39" s="140"/>
      <c r="G39" s="140"/>
      <c r="H39" s="141"/>
      <c r="I39" s="140"/>
      <c r="J39" s="140"/>
      <c r="K39" s="140"/>
      <c r="L39" s="140"/>
    </row>
    <row r="40" spans="1:12" ht="20.25" customHeight="1" thickBot="1">
      <c r="A40" s="142" t="s">
        <v>3</v>
      </c>
      <c r="B40" s="143">
        <f aca="true" t="shared" si="11" ref="B40:K40">SUM(B38,B31,B19)</f>
        <v>13775000</v>
      </c>
      <c r="C40" s="144">
        <f t="shared" si="11"/>
        <v>602</v>
      </c>
      <c r="D40" s="143">
        <f t="shared" si="11"/>
        <v>0</v>
      </c>
      <c r="E40" s="143">
        <f t="shared" si="11"/>
        <v>33587500</v>
      </c>
      <c r="F40" s="143">
        <f t="shared" si="11"/>
        <v>47362500</v>
      </c>
      <c r="G40" s="143">
        <f t="shared" si="11"/>
        <v>7875000</v>
      </c>
      <c r="H40" s="144">
        <f t="shared" si="11"/>
        <v>2387</v>
      </c>
      <c r="I40" s="143">
        <f t="shared" si="11"/>
        <v>150000</v>
      </c>
      <c r="J40" s="143">
        <f t="shared" si="11"/>
        <v>86800000</v>
      </c>
      <c r="K40" s="143">
        <f t="shared" si="11"/>
        <v>94675000</v>
      </c>
      <c r="L40" s="124">
        <f>SUM(L38,L31,L19)</f>
        <v>142037500</v>
      </c>
    </row>
    <row r="41" spans="1:12" ht="21" customHeight="1" thickBot="1">
      <c r="A41" s="1"/>
      <c r="B41" s="1"/>
      <c r="C41" s="3"/>
      <c r="D41" s="1"/>
      <c r="E41" s="1"/>
      <c r="F41" s="1"/>
      <c r="G41" s="1"/>
      <c r="H41" s="3"/>
      <c r="I41" s="53" t="s">
        <v>3</v>
      </c>
      <c r="L41" s="51">
        <f>L40</f>
        <v>142037500</v>
      </c>
    </row>
    <row r="43" ht="15">
      <c r="L43" s="58">
        <f>L41-'Scenario 1'!N41</f>
        <v>0</v>
      </c>
    </row>
    <row r="45" ht="15">
      <c r="L45" s="58"/>
    </row>
  </sheetData>
  <sheetProtection/>
  <mergeCells count="10">
    <mergeCell ref="A33:L33"/>
    <mergeCell ref="J3:J4"/>
    <mergeCell ref="A20:L20"/>
    <mergeCell ref="A2:A4"/>
    <mergeCell ref="L2:L3"/>
    <mergeCell ref="B2:F2"/>
    <mergeCell ref="G2:K2"/>
    <mergeCell ref="F3:F4"/>
    <mergeCell ref="K3:K4"/>
    <mergeCell ref="E3:E4"/>
  </mergeCells>
  <printOptions horizontalCentered="1"/>
  <pageMargins left="0.35433070866141736" right="0.35433070866141736" top="0.97" bottom="0.25" header="0.42" footer="0.26"/>
  <pageSetup fitToHeight="0" fitToWidth="1" horizontalDpi="600" verticalDpi="600" orientation="landscape" paperSize="9" r:id="rId1"/>
  <headerFooter alignWithMargins="0">
    <oddHeader>&amp;C&amp;"Calibri,Bold"&amp;14
&amp;A 
PRMN pour l'Afrique Centrale&amp;RPage &amp;P</oddHeader>
  </headerFooter>
  <rowBreaks count="2" manualBreakCount="2">
    <brk id="20" max="255" man="1"/>
    <brk id="3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2:L43"/>
  <sheetViews>
    <sheetView zoomScaleSheetLayoutView="100" zoomScalePageLayoutView="0" workbookViewId="0" topLeftCell="A1">
      <pane xSplit="1" ySplit="5" topLeftCell="B6" activePane="bottomRight" state="frozen"/>
      <selection pane="topLeft" activeCell="F72" sqref="F72"/>
      <selection pane="topRight" activeCell="F72" sqref="F72"/>
      <selection pane="bottomLeft" activeCell="F72" sqref="F72"/>
      <selection pane="bottomRight" activeCell="A33" sqref="A33:L33"/>
    </sheetView>
  </sheetViews>
  <sheetFormatPr defaultColWidth="9.140625" defaultRowHeight="15"/>
  <cols>
    <col min="1" max="1" width="24.7109375" style="0" customWidth="1"/>
    <col min="2" max="2" width="13.28125" style="0" bestFit="1" customWidth="1"/>
    <col min="3" max="3" width="7.140625" style="2" hidden="1" customWidth="1"/>
    <col min="4" max="4" width="11.00390625" style="0" hidden="1" customWidth="1"/>
    <col min="5" max="6" width="13.28125" style="0" bestFit="1" customWidth="1"/>
    <col min="7" max="7" width="12.140625" style="0" bestFit="1" customWidth="1"/>
    <col min="8" max="8" width="7.140625" style="2" hidden="1" customWidth="1"/>
    <col min="9" max="9" width="10.28125" style="0" hidden="1" customWidth="1"/>
    <col min="10" max="11" width="14.28125" style="0" bestFit="1" customWidth="1"/>
    <col min="12" max="12" width="15.57421875" style="7" bestFit="1" customWidth="1"/>
    <col min="14" max="16" width="9.8515625" style="0" bestFit="1" customWidth="1"/>
    <col min="18" max="20" width="9.8515625" style="0" bestFit="1" customWidth="1"/>
  </cols>
  <sheetData>
    <row r="1" ht="6.75" customHeight="1" hidden="1" thickBot="1"/>
    <row r="2" spans="1:12" ht="27.75" customHeight="1">
      <c r="A2" s="182" t="s">
        <v>64</v>
      </c>
      <c r="B2" s="184" t="s">
        <v>95</v>
      </c>
      <c r="C2" s="184"/>
      <c r="D2" s="184"/>
      <c r="E2" s="184"/>
      <c r="F2" s="184"/>
      <c r="G2" s="184" t="s">
        <v>96</v>
      </c>
      <c r="H2" s="184"/>
      <c r="I2" s="184"/>
      <c r="J2" s="184"/>
      <c r="K2" s="184"/>
      <c r="L2" s="183" t="s">
        <v>65</v>
      </c>
    </row>
    <row r="3" spans="1:12" ht="34.5" customHeight="1">
      <c r="A3" s="182"/>
      <c r="B3" s="126" t="s">
        <v>72</v>
      </c>
      <c r="C3" s="126" t="s">
        <v>24</v>
      </c>
      <c r="D3" s="126"/>
      <c r="E3" s="179" t="s">
        <v>71</v>
      </c>
      <c r="F3" s="185" t="s">
        <v>70</v>
      </c>
      <c r="G3" s="126" t="s">
        <v>72</v>
      </c>
      <c r="H3" s="126" t="s">
        <v>24</v>
      </c>
      <c r="I3" s="126"/>
      <c r="J3" s="179" t="s">
        <v>71</v>
      </c>
      <c r="K3" s="185" t="s">
        <v>70</v>
      </c>
      <c r="L3" s="183"/>
    </row>
    <row r="4" spans="1:12" ht="33" customHeight="1" hidden="1" thickBot="1">
      <c r="A4" s="182"/>
      <c r="B4" s="127" t="s">
        <v>2</v>
      </c>
      <c r="C4" s="128" t="s">
        <v>0</v>
      </c>
      <c r="D4" s="127" t="s">
        <v>1</v>
      </c>
      <c r="E4" s="179"/>
      <c r="F4" s="185"/>
      <c r="G4" s="127" t="s">
        <v>2</v>
      </c>
      <c r="H4" s="128" t="s">
        <v>0</v>
      </c>
      <c r="I4" s="127" t="s">
        <v>1</v>
      </c>
      <c r="J4" s="179"/>
      <c r="K4" s="185"/>
      <c r="L4" s="125"/>
    </row>
    <row r="5" spans="1:12" ht="30" customHeight="1" hidden="1" thickBot="1">
      <c r="A5" s="129"/>
      <c r="B5" s="129"/>
      <c r="C5" s="129"/>
      <c r="D5" s="129"/>
      <c r="E5" s="129"/>
      <c r="F5" s="129"/>
      <c r="G5" s="129"/>
      <c r="H5" s="129"/>
      <c r="I5" s="129"/>
      <c r="J5" s="129"/>
      <c r="K5" s="129"/>
      <c r="L5" s="129"/>
    </row>
    <row r="6" spans="1:12" ht="165.75" hidden="1">
      <c r="A6" s="130" t="s">
        <v>25</v>
      </c>
      <c r="B6" s="115">
        <v>50000</v>
      </c>
      <c r="C6" s="116">
        <v>20</v>
      </c>
      <c r="D6" s="115"/>
      <c r="E6" s="117">
        <f aca="true" t="shared" si="0" ref="E6:E17">C6*D6</f>
        <v>0</v>
      </c>
      <c r="F6" s="118">
        <f aca="true" t="shared" si="1" ref="F6:F17">SUM(B6,E6)</f>
        <v>50000</v>
      </c>
      <c r="G6" s="115">
        <v>0</v>
      </c>
      <c r="H6" s="116">
        <v>20</v>
      </c>
      <c r="I6" s="115">
        <v>50000</v>
      </c>
      <c r="J6" s="117">
        <f aca="true" t="shared" si="2" ref="J6:J17">H6*I6</f>
        <v>1000000</v>
      </c>
      <c r="K6" s="118">
        <f aca="true" t="shared" si="3" ref="K6:K17">SUM(G6,J6)</f>
        <v>1000000</v>
      </c>
      <c r="L6" s="131">
        <f aca="true" t="shared" si="4" ref="L6:L17">SUM(K6,F6)</f>
        <v>1050000</v>
      </c>
    </row>
    <row r="7" spans="1:12" ht="51" hidden="1">
      <c r="A7" s="130" t="s">
        <v>26</v>
      </c>
      <c r="B7" s="115"/>
      <c r="C7" s="116">
        <v>150</v>
      </c>
      <c r="D7" s="115">
        <v>80000</v>
      </c>
      <c r="E7" s="117">
        <f t="shared" si="0"/>
        <v>12000000</v>
      </c>
      <c r="F7" s="118">
        <f t="shared" si="1"/>
        <v>12000000</v>
      </c>
      <c r="G7" s="115">
        <v>0</v>
      </c>
      <c r="H7" s="116">
        <v>600</v>
      </c>
      <c r="I7" s="115">
        <v>80000</v>
      </c>
      <c r="J7" s="117">
        <f t="shared" si="2"/>
        <v>48000000</v>
      </c>
      <c r="K7" s="118">
        <f t="shared" si="3"/>
        <v>48000000</v>
      </c>
      <c r="L7" s="131">
        <f t="shared" si="4"/>
        <v>60000000</v>
      </c>
    </row>
    <row r="8" spans="1:12" ht="76.5" hidden="1">
      <c r="A8" s="130" t="s">
        <v>27</v>
      </c>
      <c r="B8" s="115">
        <v>0</v>
      </c>
      <c r="C8" s="116">
        <v>350</v>
      </c>
      <c r="D8" s="115">
        <v>47500</v>
      </c>
      <c r="E8" s="117">
        <f t="shared" si="0"/>
        <v>16625000</v>
      </c>
      <c r="F8" s="118">
        <f t="shared" si="1"/>
        <v>16625000</v>
      </c>
      <c r="G8" s="115">
        <v>0</v>
      </c>
      <c r="H8" s="116">
        <v>1400</v>
      </c>
      <c r="I8" s="115">
        <v>47500</v>
      </c>
      <c r="J8" s="117">
        <f t="shared" si="2"/>
        <v>66500000</v>
      </c>
      <c r="K8" s="118">
        <f t="shared" si="3"/>
        <v>66500000</v>
      </c>
      <c r="L8" s="131">
        <f t="shared" si="4"/>
        <v>83125000</v>
      </c>
    </row>
    <row r="9" spans="1:12" ht="204" hidden="1">
      <c r="A9" s="130" t="s">
        <v>28</v>
      </c>
      <c r="B9" s="115">
        <v>400000</v>
      </c>
      <c r="C9" s="116">
        <v>0</v>
      </c>
      <c r="D9" s="115"/>
      <c r="E9" s="117">
        <f t="shared" si="0"/>
        <v>0</v>
      </c>
      <c r="F9" s="118">
        <f t="shared" si="1"/>
        <v>400000</v>
      </c>
      <c r="G9" s="115">
        <v>300000</v>
      </c>
      <c r="H9" s="116">
        <v>0</v>
      </c>
      <c r="I9" s="115"/>
      <c r="J9" s="117">
        <f t="shared" si="2"/>
        <v>0</v>
      </c>
      <c r="K9" s="118">
        <f t="shared" si="3"/>
        <v>300000</v>
      </c>
      <c r="L9" s="131">
        <f t="shared" si="4"/>
        <v>700000</v>
      </c>
    </row>
    <row r="10" spans="1:12" ht="76.5" hidden="1">
      <c r="A10" s="130" t="s">
        <v>29</v>
      </c>
      <c r="B10" s="115">
        <v>700000</v>
      </c>
      <c r="C10" s="116">
        <v>0</v>
      </c>
      <c r="D10" s="115"/>
      <c r="E10" s="117">
        <f t="shared" si="0"/>
        <v>0</v>
      </c>
      <c r="F10" s="118">
        <f t="shared" si="1"/>
        <v>700000</v>
      </c>
      <c r="G10" s="115">
        <v>0</v>
      </c>
      <c r="H10" s="116">
        <v>0</v>
      </c>
      <c r="I10" s="115"/>
      <c r="J10" s="117">
        <f t="shared" si="2"/>
        <v>0</v>
      </c>
      <c r="K10" s="118">
        <f t="shared" si="3"/>
        <v>0</v>
      </c>
      <c r="L10" s="131">
        <f t="shared" si="4"/>
        <v>700000</v>
      </c>
    </row>
    <row r="11" spans="1:12" ht="89.25" hidden="1">
      <c r="A11" s="130" t="s">
        <v>30</v>
      </c>
      <c r="B11" s="115">
        <v>300000</v>
      </c>
      <c r="C11" s="116">
        <v>0</v>
      </c>
      <c r="D11" s="115"/>
      <c r="E11" s="117">
        <f t="shared" si="0"/>
        <v>0</v>
      </c>
      <c r="F11" s="118">
        <f t="shared" si="1"/>
        <v>300000</v>
      </c>
      <c r="G11" s="115">
        <v>0</v>
      </c>
      <c r="H11" s="116">
        <v>0</v>
      </c>
      <c r="I11" s="115"/>
      <c r="J11" s="117">
        <f t="shared" si="2"/>
        <v>0</v>
      </c>
      <c r="K11" s="118">
        <f t="shared" si="3"/>
        <v>0</v>
      </c>
      <c r="L11" s="131">
        <f t="shared" si="4"/>
        <v>300000</v>
      </c>
    </row>
    <row r="12" spans="1:12" ht="216.75" hidden="1">
      <c r="A12" s="130" t="s">
        <v>31</v>
      </c>
      <c r="B12" s="115">
        <v>300000</v>
      </c>
      <c r="C12" s="116">
        <v>0</v>
      </c>
      <c r="D12" s="115"/>
      <c r="E12" s="117">
        <f t="shared" si="0"/>
        <v>0</v>
      </c>
      <c r="F12" s="118">
        <f t="shared" si="1"/>
        <v>300000</v>
      </c>
      <c r="G12" s="115">
        <v>300000</v>
      </c>
      <c r="H12" s="116">
        <v>0</v>
      </c>
      <c r="I12" s="115"/>
      <c r="J12" s="117">
        <f t="shared" si="2"/>
        <v>0</v>
      </c>
      <c r="K12" s="118">
        <f t="shared" si="3"/>
        <v>300000</v>
      </c>
      <c r="L12" s="131">
        <f t="shared" si="4"/>
        <v>600000</v>
      </c>
    </row>
    <row r="13" spans="1:12" ht="76.5" hidden="1">
      <c r="A13" s="130" t="s">
        <v>32</v>
      </c>
      <c r="B13" s="115">
        <v>800000</v>
      </c>
      <c r="C13" s="116">
        <v>0</v>
      </c>
      <c r="D13" s="115"/>
      <c r="E13" s="117">
        <f t="shared" si="0"/>
        <v>0</v>
      </c>
      <c r="F13" s="118">
        <f t="shared" si="1"/>
        <v>800000</v>
      </c>
      <c r="G13" s="115">
        <v>0</v>
      </c>
      <c r="H13" s="116">
        <v>0</v>
      </c>
      <c r="I13" s="115"/>
      <c r="J13" s="117">
        <f t="shared" si="2"/>
        <v>0</v>
      </c>
      <c r="K13" s="118">
        <f t="shared" si="3"/>
        <v>0</v>
      </c>
      <c r="L13" s="131">
        <f t="shared" si="4"/>
        <v>800000</v>
      </c>
    </row>
    <row r="14" spans="1:12" ht="89.25" hidden="1">
      <c r="A14" s="130" t="s">
        <v>33</v>
      </c>
      <c r="B14" s="115">
        <v>0</v>
      </c>
      <c r="C14" s="116">
        <v>0</v>
      </c>
      <c r="D14" s="115"/>
      <c r="E14" s="117">
        <f t="shared" si="0"/>
        <v>0</v>
      </c>
      <c r="F14" s="118">
        <f t="shared" si="1"/>
        <v>0</v>
      </c>
      <c r="G14" s="115">
        <v>0</v>
      </c>
      <c r="H14" s="116">
        <v>0</v>
      </c>
      <c r="I14" s="115"/>
      <c r="J14" s="117">
        <f t="shared" si="2"/>
        <v>0</v>
      </c>
      <c r="K14" s="118">
        <f t="shared" si="3"/>
        <v>0</v>
      </c>
      <c r="L14" s="131">
        <f t="shared" si="4"/>
        <v>0</v>
      </c>
    </row>
    <row r="15" spans="1:12" ht="76.5" hidden="1">
      <c r="A15" s="130" t="s">
        <v>34</v>
      </c>
      <c r="B15" s="115">
        <v>500000</v>
      </c>
      <c r="C15" s="116">
        <v>0</v>
      </c>
      <c r="D15" s="115"/>
      <c r="E15" s="117">
        <f t="shared" si="0"/>
        <v>0</v>
      </c>
      <c r="F15" s="118">
        <f t="shared" si="1"/>
        <v>500000</v>
      </c>
      <c r="G15" s="115">
        <v>0</v>
      </c>
      <c r="H15" s="116">
        <v>0</v>
      </c>
      <c r="I15" s="115"/>
      <c r="J15" s="117">
        <f t="shared" si="2"/>
        <v>0</v>
      </c>
      <c r="K15" s="118">
        <f t="shared" si="3"/>
        <v>0</v>
      </c>
      <c r="L15" s="131">
        <f t="shared" si="4"/>
        <v>500000</v>
      </c>
    </row>
    <row r="16" spans="1:12" ht="153" hidden="1">
      <c r="A16" s="130" t="s">
        <v>35</v>
      </c>
      <c r="B16" s="115">
        <v>200000</v>
      </c>
      <c r="C16" s="116">
        <v>500</v>
      </c>
      <c r="D16" s="115">
        <v>10000</v>
      </c>
      <c r="E16" s="117">
        <f t="shared" si="0"/>
        <v>5000000</v>
      </c>
      <c r="F16" s="118">
        <f t="shared" si="1"/>
        <v>5200000</v>
      </c>
      <c r="G16" s="115">
        <v>200000</v>
      </c>
      <c r="H16" s="116">
        <v>2000</v>
      </c>
      <c r="I16" s="115">
        <v>10000</v>
      </c>
      <c r="J16" s="117">
        <f t="shared" si="2"/>
        <v>20000000</v>
      </c>
      <c r="K16" s="118">
        <f t="shared" si="3"/>
        <v>20200000</v>
      </c>
      <c r="L16" s="131">
        <f t="shared" si="4"/>
        <v>25400000</v>
      </c>
    </row>
    <row r="17" spans="1:12" ht="63.75" hidden="1">
      <c r="A17" s="130" t="s">
        <v>36</v>
      </c>
      <c r="B17" s="115">
        <v>300000</v>
      </c>
      <c r="C17" s="116">
        <v>0</v>
      </c>
      <c r="D17" s="115"/>
      <c r="E17" s="117">
        <f t="shared" si="0"/>
        <v>0</v>
      </c>
      <c r="F17" s="118">
        <f t="shared" si="1"/>
        <v>300000</v>
      </c>
      <c r="G17" s="115">
        <v>300000</v>
      </c>
      <c r="H17" s="116">
        <v>0</v>
      </c>
      <c r="I17" s="115"/>
      <c r="J17" s="117">
        <f t="shared" si="2"/>
        <v>0</v>
      </c>
      <c r="K17" s="118">
        <f t="shared" si="3"/>
        <v>300000</v>
      </c>
      <c r="L17" s="131">
        <f t="shared" si="4"/>
        <v>600000</v>
      </c>
    </row>
    <row r="18" spans="1:12" ht="15" customHeight="1" hidden="1" thickBot="1">
      <c r="A18" s="119"/>
      <c r="B18" s="115"/>
      <c r="C18" s="116"/>
      <c r="D18" s="115"/>
      <c r="E18" s="117"/>
      <c r="F18" s="132"/>
      <c r="G18" s="115"/>
      <c r="H18" s="116"/>
      <c r="I18" s="115"/>
      <c r="J18" s="117"/>
      <c r="K18" s="132"/>
      <c r="L18" s="133"/>
    </row>
    <row r="19" spans="1:12" ht="18.75" customHeight="1">
      <c r="A19" s="134" t="s">
        <v>66</v>
      </c>
      <c r="B19" s="119">
        <f>'Scenario 2'!D18</f>
        <v>5050000</v>
      </c>
      <c r="C19" s="120">
        <f>'Scenario 2'!E18</f>
        <v>916</v>
      </c>
      <c r="D19" s="119">
        <f>'Scenario 2'!F18</f>
        <v>0</v>
      </c>
      <c r="E19" s="119">
        <f>'Scenario 2'!G18</f>
        <v>30400000</v>
      </c>
      <c r="F19" s="121">
        <f>'Scenario 2'!H18</f>
        <v>35450000</v>
      </c>
      <c r="G19" s="122">
        <f>'Scenario 2'!I18</f>
        <v>700000</v>
      </c>
      <c r="H19" s="123">
        <f>'Scenario 2'!J18</f>
        <v>3384</v>
      </c>
      <c r="I19" s="122">
        <f>'Scenario 2'!K18</f>
        <v>0</v>
      </c>
      <c r="J19" s="119">
        <f>'Scenario 2'!L18</f>
        <v>108700000</v>
      </c>
      <c r="K19" s="121">
        <f>'Scenario 2'!M18</f>
        <v>109400000</v>
      </c>
      <c r="L19" s="131">
        <f>'Scenario 2'!N18</f>
        <v>144850000</v>
      </c>
    </row>
    <row r="20" spans="1:12" ht="32.25" customHeight="1" hidden="1" thickBot="1">
      <c r="A20" s="180"/>
      <c r="B20" s="180"/>
      <c r="C20" s="180"/>
      <c r="D20" s="180"/>
      <c r="E20" s="180"/>
      <c r="F20" s="180"/>
      <c r="G20" s="180"/>
      <c r="H20" s="180"/>
      <c r="I20" s="180"/>
      <c r="J20" s="180"/>
      <c r="K20" s="180"/>
      <c r="L20" s="180"/>
    </row>
    <row r="21" spans="1:12" ht="166.5" customHeight="1" hidden="1" thickBot="1">
      <c r="A21" s="130" t="s">
        <v>37</v>
      </c>
      <c r="B21" s="119">
        <v>0</v>
      </c>
      <c r="C21" s="120">
        <v>7</v>
      </c>
      <c r="D21" s="119">
        <v>500000</v>
      </c>
      <c r="E21" s="119">
        <f aca="true" t="shared" si="5" ref="E21:E29">C21*D21</f>
        <v>3500000</v>
      </c>
      <c r="F21" s="121">
        <f aca="true" t="shared" si="6" ref="F21:F29">SUM(B21,E21)</f>
        <v>3500000</v>
      </c>
      <c r="G21" s="119">
        <v>0</v>
      </c>
      <c r="H21" s="120">
        <v>13</v>
      </c>
      <c r="I21" s="119">
        <v>500000</v>
      </c>
      <c r="J21" s="119">
        <f aca="true" t="shared" si="7" ref="J21:J29">H21*I21</f>
        <v>6500000</v>
      </c>
      <c r="K21" s="121">
        <f aca="true" t="shared" si="8" ref="K21:K29">SUM(G21,J21)</f>
        <v>6500000</v>
      </c>
      <c r="L21" s="121">
        <f aca="true" t="shared" si="9" ref="L21:L29">SUM(K21,F21)</f>
        <v>10000000</v>
      </c>
    </row>
    <row r="22" spans="1:12" ht="39" customHeight="1" hidden="1">
      <c r="A22" s="130" t="s">
        <v>38</v>
      </c>
      <c r="B22" s="119">
        <v>0</v>
      </c>
      <c r="C22" s="120">
        <v>0</v>
      </c>
      <c r="D22" s="119"/>
      <c r="E22" s="119">
        <f t="shared" si="5"/>
        <v>0</v>
      </c>
      <c r="F22" s="121">
        <f t="shared" si="6"/>
        <v>0</v>
      </c>
      <c r="G22" s="119">
        <v>0</v>
      </c>
      <c r="H22" s="120">
        <v>0</v>
      </c>
      <c r="I22" s="119"/>
      <c r="J22" s="119">
        <f t="shared" si="7"/>
        <v>0</v>
      </c>
      <c r="K22" s="121">
        <f t="shared" si="8"/>
        <v>0</v>
      </c>
      <c r="L22" s="121">
        <f t="shared" si="9"/>
        <v>0</v>
      </c>
    </row>
    <row r="23" spans="1:12" ht="64.5" customHeight="1" hidden="1">
      <c r="A23" s="130" t="s">
        <v>39</v>
      </c>
      <c r="B23" s="119">
        <v>0</v>
      </c>
      <c r="C23" s="120">
        <v>0</v>
      </c>
      <c r="D23" s="119"/>
      <c r="E23" s="119">
        <f t="shared" si="5"/>
        <v>0</v>
      </c>
      <c r="F23" s="121">
        <f t="shared" si="6"/>
        <v>0</v>
      </c>
      <c r="G23" s="119">
        <v>0</v>
      </c>
      <c r="H23" s="120">
        <v>0</v>
      </c>
      <c r="I23" s="119"/>
      <c r="J23" s="119">
        <f t="shared" si="7"/>
        <v>0</v>
      </c>
      <c r="K23" s="121">
        <f t="shared" si="8"/>
        <v>0</v>
      </c>
      <c r="L23" s="121">
        <f t="shared" si="9"/>
        <v>0</v>
      </c>
    </row>
    <row r="24" spans="1:12" ht="39" customHeight="1" hidden="1">
      <c r="A24" s="130" t="s">
        <v>40</v>
      </c>
      <c r="B24" s="119">
        <v>0</v>
      </c>
      <c r="C24" s="120">
        <v>0</v>
      </c>
      <c r="D24" s="119"/>
      <c r="E24" s="119">
        <f t="shared" si="5"/>
        <v>0</v>
      </c>
      <c r="F24" s="121">
        <f t="shared" si="6"/>
        <v>0</v>
      </c>
      <c r="G24" s="119">
        <v>0</v>
      </c>
      <c r="H24" s="120">
        <v>0</v>
      </c>
      <c r="I24" s="119"/>
      <c r="J24" s="119">
        <f t="shared" si="7"/>
        <v>0</v>
      </c>
      <c r="K24" s="121">
        <f t="shared" si="8"/>
        <v>0</v>
      </c>
      <c r="L24" s="121">
        <f t="shared" si="9"/>
        <v>0</v>
      </c>
    </row>
    <row r="25" spans="1:12" ht="39" customHeight="1" hidden="1">
      <c r="A25" s="130" t="s">
        <v>41</v>
      </c>
      <c r="B25" s="119">
        <v>300000</v>
      </c>
      <c r="C25" s="120">
        <v>0</v>
      </c>
      <c r="D25" s="119"/>
      <c r="E25" s="119">
        <f t="shared" si="5"/>
        <v>0</v>
      </c>
      <c r="F25" s="121">
        <f t="shared" si="6"/>
        <v>300000</v>
      </c>
      <c r="G25" s="119">
        <v>300000</v>
      </c>
      <c r="H25" s="120">
        <v>0</v>
      </c>
      <c r="I25" s="119"/>
      <c r="J25" s="119">
        <f t="shared" si="7"/>
        <v>0</v>
      </c>
      <c r="K25" s="121">
        <f t="shared" si="8"/>
        <v>300000</v>
      </c>
      <c r="L25" s="121">
        <f t="shared" si="9"/>
        <v>600000</v>
      </c>
    </row>
    <row r="26" spans="1:12" ht="77.25" customHeight="1" hidden="1">
      <c r="A26" s="130" t="s">
        <v>42</v>
      </c>
      <c r="B26" s="119">
        <v>0</v>
      </c>
      <c r="C26" s="120">
        <v>0</v>
      </c>
      <c r="D26" s="119"/>
      <c r="E26" s="119">
        <f t="shared" si="5"/>
        <v>0</v>
      </c>
      <c r="F26" s="121">
        <f t="shared" si="6"/>
        <v>0</v>
      </c>
      <c r="G26" s="119">
        <v>0</v>
      </c>
      <c r="H26" s="120">
        <v>0</v>
      </c>
      <c r="I26" s="119"/>
      <c r="J26" s="119">
        <f t="shared" si="7"/>
        <v>0</v>
      </c>
      <c r="K26" s="121">
        <f t="shared" si="8"/>
        <v>0</v>
      </c>
      <c r="L26" s="121">
        <f t="shared" si="9"/>
        <v>0</v>
      </c>
    </row>
    <row r="27" spans="1:12" ht="51.75" customHeight="1" hidden="1">
      <c r="A27" s="130" t="s">
        <v>43</v>
      </c>
      <c r="B27" s="119">
        <v>200000</v>
      </c>
      <c r="C27" s="120">
        <v>3</v>
      </c>
      <c r="D27" s="119">
        <v>70000</v>
      </c>
      <c r="E27" s="119">
        <f t="shared" si="5"/>
        <v>210000</v>
      </c>
      <c r="F27" s="121">
        <f t="shared" si="6"/>
        <v>410000</v>
      </c>
      <c r="G27" s="119">
        <v>200000</v>
      </c>
      <c r="H27" s="120">
        <v>20</v>
      </c>
      <c r="I27" s="119">
        <v>70000</v>
      </c>
      <c r="J27" s="119">
        <f t="shared" si="7"/>
        <v>1400000</v>
      </c>
      <c r="K27" s="121">
        <f t="shared" si="8"/>
        <v>1600000</v>
      </c>
      <c r="L27" s="121">
        <f t="shared" si="9"/>
        <v>2010000</v>
      </c>
    </row>
    <row r="28" spans="1:12" ht="39" customHeight="1" hidden="1">
      <c r="A28" s="130" t="s">
        <v>44</v>
      </c>
      <c r="B28" s="119">
        <v>200000</v>
      </c>
      <c r="C28" s="120">
        <v>20</v>
      </c>
      <c r="D28" s="119">
        <v>15000</v>
      </c>
      <c r="E28" s="119">
        <f t="shared" si="5"/>
        <v>300000</v>
      </c>
      <c r="F28" s="121">
        <f t="shared" si="6"/>
        <v>500000</v>
      </c>
      <c r="G28" s="119">
        <v>400000</v>
      </c>
      <c r="H28" s="120">
        <v>40</v>
      </c>
      <c r="I28" s="119">
        <v>15000</v>
      </c>
      <c r="J28" s="119">
        <f t="shared" si="7"/>
        <v>600000</v>
      </c>
      <c r="K28" s="121">
        <f t="shared" si="8"/>
        <v>1000000</v>
      </c>
      <c r="L28" s="121">
        <f t="shared" si="9"/>
        <v>1500000</v>
      </c>
    </row>
    <row r="29" spans="1:12" ht="17.25" customHeight="1" hidden="1">
      <c r="A29" s="130" t="s">
        <v>45</v>
      </c>
      <c r="B29" s="119">
        <v>1000000</v>
      </c>
      <c r="C29" s="120">
        <v>0</v>
      </c>
      <c r="D29" s="119"/>
      <c r="E29" s="119">
        <f t="shared" si="5"/>
        <v>0</v>
      </c>
      <c r="F29" s="121">
        <f t="shared" si="6"/>
        <v>1000000</v>
      </c>
      <c r="G29" s="119">
        <v>1000000</v>
      </c>
      <c r="H29" s="120">
        <v>0</v>
      </c>
      <c r="I29" s="119"/>
      <c r="J29" s="119">
        <f t="shared" si="7"/>
        <v>0</v>
      </c>
      <c r="K29" s="121">
        <f t="shared" si="8"/>
        <v>1000000</v>
      </c>
      <c r="L29" s="121">
        <f t="shared" si="9"/>
        <v>2000000</v>
      </c>
    </row>
    <row r="30" spans="1:12" ht="9.75" customHeight="1" hidden="1">
      <c r="A30" s="119"/>
      <c r="B30" s="119"/>
      <c r="C30" s="120"/>
      <c r="D30" s="119"/>
      <c r="E30" s="119"/>
      <c r="F30" s="119"/>
      <c r="G30" s="119"/>
      <c r="H30" s="120"/>
      <c r="I30" s="119"/>
      <c r="J30" s="119"/>
      <c r="K30" s="119"/>
      <c r="L30" s="119"/>
    </row>
    <row r="31" spans="1:12" ht="18.75" customHeight="1">
      <c r="A31" s="134" t="s">
        <v>67</v>
      </c>
      <c r="B31" s="119">
        <f>'Scenario 2'!D31</f>
        <v>5525000</v>
      </c>
      <c r="C31" s="120">
        <f>'Scenario 2'!E31</f>
        <v>66</v>
      </c>
      <c r="D31" s="119">
        <f>'Scenario 2'!F31</f>
        <v>0</v>
      </c>
      <c r="E31" s="119">
        <f>'Scenario 2'!G31</f>
        <v>10650000</v>
      </c>
      <c r="F31" s="121">
        <f>'Scenario 2'!H31</f>
        <v>16175000</v>
      </c>
      <c r="G31" s="122">
        <f>'Scenario 2'!I31</f>
        <v>5275000</v>
      </c>
      <c r="H31" s="123">
        <f>'Scenario 2'!J31</f>
        <v>102</v>
      </c>
      <c r="I31" s="122">
        <f>'Scenario 2'!K31</f>
        <v>0</v>
      </c>
      <c r="J31" s="119">
        <f>'Scenario 2'!L31</f>
        <v>11550000</v>
      </c>
      <c r="K31" s="121">
        <f>'Scenario 2'!M31</f>
        <v>16825000</v>
      </c>
      <c r="L31" s="131">
        <f>'Scenario 2'!N31</f>
        <v>33000000</v>
      </c>
    </row>
    <row r="32" spans="1:12" ht="14.25" customHeight="1">
      <c r="A32" s="135"/>
      <c r="B32" s="136"/>
      <c r="C32" s="136"/>
      <c r="D32" s="136"/>
      <c r="E32" s="136"/>
      <c r="F32" s="136"/>
      <c r="G32" s="136"/>
      <c r="H32" s="136"/>
      <c r="I32" s="135"/>
      <c r="J32" s="136"/>
      <c r="K32" s="136"/>
      <c r="L32" s="136"/>
    </row>
    <row r="33" spans="1:12" ht="19.5" customHeight="1">
      <c r="A33" s="176" t="s">
        <v>68</v>
      </c>
      <c r="B33" s="177"/>
      <c r="C33" s="177"/>
      <c r="D33" s="177"/>
      <c r="E33" s="177"/>
      <c r="F33" s="177"/>
      <c r="G33" s="177"/>
      <c r="H33" s="177"/>
      <c r="I33" s="177"/>
      <c r="J33" s="177"/>
      <c r="K33" s="177"/>
      <c r="L33" s="178"/>
    </row>
    <row r="34" spans="1:12" ht="15">
      <c r="A34" s="134" t="s">
        <v>73</v>
      </c>
      <c r="B34" s="119">
        <f>'Scenario 2'!D34</f>
        <v>2200000</v>
      </c>
      <c r="C34" s="120">
        <f>'Scenario 2'!E34</f>
        <v>0</v>
      </c>
      <c r="D34" s="119">
        <f>'Scenario 2'!F34</f>
        <v>0</v>
      </c>
      <c r="E34" s="119">
        <f>'Scenario 2'!G34</f>
        <v>0</v>
      </c>
      <c r="F34" s="121">
        <f>B34+E34</f>
        <v>2200000</v>
      </c>
      <c r="G34" s="122">
        <f>'Scenario 2'!I34</f>
        <v>1100000</v>
      </c>
      <c r="H34" s="123">
        <f>'Scenario 2'!J34</f>
        <v>0</v>
      </c>
      <c r="I34" s="122">
        <f>'Scenario 2'!K34</f>
        <v>0</v>
      </c>
      <c r="J34" s="119">
        <f>'Scenario 2'!L34</f>
        <v>0</v>
      </c>
      <c r="K34" s="121">
        <f>G34+J34</f>
        <v>1100000</v>
      </c>
      <c r="L34" s="131">
        <f>SUM(F34,K34)</f>
        <v>3300000</v>
      </c>
    </row>
    <row r="35" spans="1:12" ht="15">
      <c r="A35" s="134" t="s">
        <v>69</v>
      </c>
      <c r="B35" s="119">
        <f>'Scenario 2'!D35</f>
        <v>0</v>
      </c>
      <c r="C35" s="120">
        <f>'Scenario 2'!E35</f>
        <v>15</v>
      </c>
      <c r="D35" s="119">
        <f>'Scenario 2'!F35</f>
        <v>150000</v>
      </c>
      <c r="E35" s="119">
        <f>'Scenario 2'!G35</f>
        <v>2250000</v>
      </c>
      <c r="F35" s="121">
        <f>B35+E35</f>
        <v>2250000</v>
      </c>
      <c r="G35" s="122">
        <f>'Scenario 2'!I35</f>
        <v>0</v>
      </c>
      <c r="H35" s="123">
        <f>'Scenario 2'!J35</f>
        <v>15</v>
      </c>
      <c r="I35" s="122">
        <f>'Scenario 2'!K35</f>
        <v>150000</v>
      </c>
      <c r="J35" s="119">
        <f>'Scenario 2'!L35</f>
        <v>2250000</v>
      </c>
      <c r="K35" s="121">
        <f>G35+J35</f>
        <v>2250000</v>
      </c>
      <c r="L35" s="131">
        <f>SUM(F35,K35)</f>
        <v>4500000</v>
      </c>
    </row>
    <row r="36" spans="1:12" ht="15">
      <c r="A36" s="134" t="s">
        <v>61</v>
      </c>
      <c r="B36" s="119">
        <f>'Scenario 2'!D36</f>
        <v>900000</v>
      </c>
      <c r="C36" s="120">
        <f>'Scenario 2'!E36</f>
        <v>0</v>
      </c>
      <c r="D36" s="119">
        <f>'Scenario 2'!F36</f>
        <v>0</v>
      </c>
      <c r="E36" s="119">
        <f>'Scenario 2'!G36</f>
        <v>0</v>
      </c>
      <c r="F36" s="121">
        <f>B36+E36</f>
        <v>900000</v>
      </c>
      <c r="G36" s="122">
        <f>'Scenario 2'!I36</f>
        <v>500000</v>
      </c>
      <c r="H36" s="123">
        <f>'Scenario 2'!J36</f>
        <v>0</v>
      </c>
      <c r="I36" s="122">
        <f>'Scenario 2'!K36</f>
        <v>0</v>
      </c>
      <c r="J36" s="119">
        <f>'Scenario 2'!L36</f>
        <v>0</v>
      </c>
      <c r="K36" s="121">
        <f>G36+J36</f>
        <v>500000</v>
      </c>
      <c r="L36" s="131">
        <f>SUM(F36,K36)</f>
        <v>1400000</v>
      </c>
    </row>
    <row r="37" spans="1:12" ht="15">
      <c r="A37" s="134" t="s">
        <v>62</v>
      </c>
      <c r="B37" s="119">
        <f>'Scenario 2'!D37</f>
        <v>500000</v>
      </c>
      <c r="C37" s="120">
        <f>'Scenario 2'!E37</f>
        <v>0</v>
      </c>
      <c r="D37" s="119">
        <f>'Scenario 2'!F37</f>
        <v>0</v>
      </c>
      <c r="E37" s="119">
        <f>'Scenario 2'!G37</f>
        <v>0</v>
      </c>
      <c r="F37" s="121">
        <f>B37+E37</f>
        <v>500000</v>
      </c>
      <c r="G37" s="122">
        <f>'Scenario 2'!I37</f>
        <v>500000</v>
      </c>
      <c r="H37" s="123">
        <f>'Scenario 2'!J37</f>
        <v>0</v>
      </c>
      <c r="I37" s="122">
        <f>'Scenario 2'!K37</f>
        <v>0</v>
      </c>
      <c r="J37" s="119">
        <f>'Scenario 2'!L37</f>
        <v>0</v>
      </c>
      <c r="K37" s="121">
        <f>G37+J37</f>
        <v>500000</v>
      </c>
      <c r="L37" s="131">
        <f>SUM(F37,K37)</f>
        <v>1000000</v>
      </c>
    </row>
    <row r="38" spans="1:12" ht="16.5" customHeight="1">
      <c r="A38" s="137"/>
      <c r="B38" s="138">
        <f>SUM(B34:B37)</f>
        <v>3600000</v>
      </c>
      <c r="C38" s="139">
        <v>36</v>
      </c>
      <c r="D38" s="138"/>
      <c r="E38" s="138">
        <f aca="true" t="shared" si="10" ref="E38:K38">SUM(E34:E37)</f>
        <v>2250000</v>
      </c>
      <c r="F38" s="138">
        <f t="shared" si="10"/>
        <v>5850000</v>
      </c>
      <c r="G38" s="138">
        <f t="shared" si="10"/>
        <v>2100000</v>
      </c>
      <c r="H38" s="139">
        <f t="shared" si="10"/>
        <v>15</v>
      </c>
      <c r="I38" s="138">
        <f t="shared" si="10"/>
        <v>150000</v>
      </c>
      <c r="J38" s="138">
        <f t="shared" si="10"/>
        <v>2250000</v>
      </c>
      <c r="K38" s="138">
        <f t="shared" si="10"/>
        <v>4350000</v>
      </c>
      <c r="L38" s="138">
        <f>SUM(L34:L37)</f>
        <v>10200000</v>
      </c>
    </row>
    <row r="39" spans="1:12" ht="11.25" customHeight="1" thickBot="1">
      <c r="A39" s="140"/>
      <c r="B39" s="140"/>
      <c r="C39" s="141"/>
      <c r="D39" s="140"/>
      <c r="E39" s="140"/>
      <c r="F39" s="140"/>
      <c r="G39" s="140"/>
      <c r="H39" s="141"/>
      <c r="I39" s="140"/>
      <c r="J39" s="140"/>
      <c r="K39" s="140"/>
      <c r="L39" s="140"/>
    </row>
    <row r="40" spans="1:12" ht="20.25" customHeight="1" thickBot="1">
      <c r="A40" s="142" t="s">
        <v>3</v>
      </c>
      <c r="B40" s="143">
        <f aca="true" t="shared" si="11" ref="B40:K40">SUM(B38,B31,B19)</f>
        <v>14175000</v>
      </c>
      <c r="C40" s="144">
        <f t="shared" si="11"/>
        <v>1018</v>
      </c>
      <c r="D40" s="143">
        <f t="shared" si="11"/>
        <v>0</v>
      </c>
      <c r="E40" s="143">
        <f t="shared" si="11"/>
        <v>43300000</v>
      </c>
      <c r="F40" s="143">
        <f t="shared" si="11"/>
        <v>57475000</v>
      </c>
      <c r="G40" s="143">
        <f t="shared" si="11"/>
        <v>8075000</v>
      </c>
      <c r="H40" s="144">
        <f t="shared" si="11"/>
        <v>3501</v>
      </c>
      <c r="I40" s="143">
        <f t="shared" si="11"/>
        <v>150000</v>
      </c>
      <c r="J40" s="143">
        <f t="shared" si="11"/>
        <v>122500000</v>
      </c>
      <c r="K40" s="143">
        <f t="shared" si="11"/>
        <v>130575000</v>
      </c>
      <c r="L40" s="124">
        <f>SUM(L38,L31,L19)</f>
        <v>188050000</v>
      </c>
    </row>
    <row r="41" spans="1:12" ht="21" customHeight="1" thickBot="1">
      <c r="A41" s="1"/>
      <c r="B41" s="1"/>
      <c r="C41" s="3"/>
      <c r="D41" s="1"/>
      <c r="E41" s="1"/>
      <c r="F41" s="1"/>
      <c r="G41" s="1"/>
      <c r="H41" s="3"/>
      <c r="I41" s="53" t="s">
        <v>3</v>
      </c>
      <c r="L41" s="51">
        <f>L40</f>
        <v>188050000</v>
      </c>
    </row>
    <row r="43" ht="15">
      <c r="L43" s="58">
        <f>L41-'Scenario 2'!N41</f>
        <v>0</v>
      </c>
    </row>
  </sheetData>
  <sheetProtection/>
  <mergeCells count="10">
    <mergeCell ref="A33:L33"/>
    <mergeCell ref="J3:J4"/>
    <mergeCell ref="A20:L20"/>
    <mergeCell ref="A2:A4"/>
    <mergeCell ref="L2:L3"/>
    <mergeCell ref="B2:F2"/>
    <mergeCell ref="G2:K2"/>
    <mergeCell ref="F3:F4"/>
    <mergeCell ref="K3:K4"/>
    <mergeCell ref="E3:E4"/>
  </mergeCells>
  <printOptions horizontalCentered="1"/>
  <pageMargins left="0.35433070866141736" right="0.35433070866141736" top="0.97" bottom="0.25" header="0.42" footer="0.26"/>
  <pageSetup fitToHeight="0" fitToWidth="1" horizontalDpi="600" verticalDpi="600" orientation="landscape" paperSize="9" r:id="rId1"/>
  <headerFooter alignWithMargins="0">
    <oddHeader>&amp;C&amp;"Calibri,Bold"&amp;14
&amp;A 
PRMN pour l'Afrique Centrale&amp;RPage &amp;P</oddHeader>
  </headerFooter>
  <rowBreaks count="2" manualBreakCount="2">
    <brk id="20" max="255" man="1"/>
    <brk id="3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2:L43"/>
  <sheetViews>
    <sheetView zoomScaleSheetLayoutView="100" zoomScalePageLayoutView="0" workbookViewId="0" topLeftCell="A1">
      <pane xSplit="1" ySplit="5" topLeftCell="B6" activePane="bottomRight" state="frozen"/>
      <selection pane="topLeft" activeCell="F72" sqref="F72"/>
      <selection pane="topRight" activeCell="F72" sqref="F72"/>
      <selection pane="bottomLeft" activeCell="F72" sqref="F72"/>
      <selection pane="bottomRight" activeCell="K44" sqref="K44"/>
    </sheetView>
  </sheetViews>
  <sheetFormatPr defaultColWidth="9.140625" defaultRowHeight="15"/>
  <cols>
    <col min="1" max="1" width="24.7109375" style="0" customWidth="1"/>
    <col min="2" max="2" width="13.28125" style="0" bestFit="1" customWidth="1"/>
    <col min="3" max="3" width="7.140625" style="2" hidden="1" customWidth="1"/>
    <col min="4" max="4" width="11.00390625" style="0" hidden="1" customWidth="1"/>
    <col min="5" max="6" width="13.28125" style="0" bestFit="1" customWidth="1"/>
    <col min="7" max="7" width="12.140625" style="0" bestFit="1" customWidth="1"/>
    <col min="8" max="8" width="7.140625" style="2" hidden="1" customWidth="1"/>
    <col min="9" max="9" width="10.28125" style="0" hidden="1" customWidth="1"/>
    <col min="10" max="11" width="14.28125" style="0" bestFit="1" customWidth="1"/>
    <col min="12" max="12" width="15.57421875" style="7" bestFit="1" customWidth="1"/>
    <col min="14" max="16" width="9.8515625" style="0" bestFit="1" customWidth="1"/>
    <col min="18" max="20" width="9.8515625" style="0" bestFit="1" customWidth="1"/>
  </cols>
  <sheetData>
    <row r="1" ht="6.75" customHeight="1" hidden="1" thickBot="1"/>
    <row r="2" spans="1:12" ht="27.75" customHeight="1">
      <c r="A2" s="182" t="s">
        <v>64</v>
      </c>
      <c r="B2" s="184" t="s">
        <v>95</v>
      </c>
      <c r="C2" s="184"/>
      <c r="D2" s="184"/>
      <c r="E2" s="184"/>
      <c r="F2" s="184"/>
      <c r="G2" s="184" t="s">
        <v>96</v>
      </c>
      <c r="H2" s="184"/>
      <c r="I2" s="184"/>
      <c r="J2" s="184"/>
      <c r="K2" s="184"/>
      <c r="L2" s="183" t="s">
        <v>65</v>
      </c>
    </row>
    <row r="3" spans="1:12" ht="34.5" customHeight="1">
      <c r="A3" s="182"/>
      <c r="B3" s="126" t="s">
        <v>72</v>
      </c>
      <c r="C3" s="126" t="s">
        <v>24</v>
      </c>
      <c r="D3" s="126"/>
      <c r="E3" s="179" t="s">
        <v>71</v>
      </c>
      <c r="F3" s="185" t="s">
        <v>70</v>
      </c>
      <c r="G3" s="126" t="s">
        <v>72</v>
      </c>
      <c r="H3" s="126" t="s">
        <v>24</v>
      </c>
      <c r="I3" s="126"/>
      <c r="J3" s="179" t="s">
        <v>71</v>
      </c>
      <c r="K3" s="185" t="s">
        <v>70</v>
      </c>
      <c r="L3" s="183"/>
    </row>
    <row r="4" spans="1:12" ht="33" customHeight="1" hidden="1" thickBot="1">
      <c r="A4" s="182"/>
      <c r="B4" s="127" t="s">
        <v>2</v>
      </c>
      <c r="C4" s="128" t="s">
        <v>0</v>
      </c>
      <c r="D4" s="127" t="s">
        <v>1</v>
      </c>
      <c r="E4" s="179"/>
      <c r="F4" s="185"/>
      <c r="G4" s="127" t="s">
        <v>2</v>
      </c>
      <c r="H4" s="128" t="s">
        <v>0</v>
      </c>
      <c r="I4" s="127" t="s">
        <v>1</v>
      </c>
      <c r="J4" s="179"/>
      <c r="K4" s="185"/>
      <c r="L4" s="125"/>
    </row>
    <row r="5" spans="1:12" ht="30" customHeight="1" hidden="1" thickBot="1">
      <c r="A5" s="129"/>
      <c r="B5" s="129"/>
      <c r="C5" s="129"/>
      <c r="D5" s="129"/>
      <c r="E5" s="129"/>
      <c r="F5" s="129"/>
      <c r="G5" s="129"/>
      <c r="H5" s="129"/>
      <c r="I5" s="129"/>
      <c r="J5" s="129"/>
      <c r="K5" s="129"/>
      <c r="L5" s="129"/>
    </row>
    <row r="6" spans="1:12" ht="165.75" hidden="1">
      <c r="A6" s="130" t="s">
        <v>25</v>
      </c>
      <c r="B6" s="115">
        <v>50000</v>
      </c>
      <c r="C6" s="116">
        <v>20</v>
      </c>
      <c r="D6" s="115"/>
      <c r="E6" s="117">
        <f aca="true" t="shared" si="0" ref="E6:E17">C6*D6</f>
        <v>0</v>
      </c>
      <c r="F6" s="118">
        <f aca="true" t="shared" si="1" ref="F6:F17">SUM(B6,E6)</f>
        <v>50000</v>
      </c>
      <c r="G6" s="115">
        <v>0</v>
      </c>
      <c r="H6" s="116">
        <v>20</v>
      </c>
      <c r="I6" s="115">
        <v>50000</v>
      </c>
      <c r="J6" s="117">
        <f aca="true" t="shared" si="2" ref="J6:J17">H6*I6</f>
        <v>1000000</v>
      </c>
      <c r="K6" s="118">
        <f aca="true" t="shared" si="3" ref="K6:K17">SUM(G6,J6)</f>
        <v>1000000</v>
      </c>
      <c r="L6" s="131">
        <f aca="true" t="shared" si="4" ref="L6:L17">SUM(K6,F6)</f>
        <v>1050000</v>
      </c>
    </row>
    <row r="7" spans="1:12" ht="51" hidden="1">
      <c r="A7" s="130" t="s">
        <v>26</v>
      </c>
      <c r="B7" s="115"/>
      <c r="C7" s="116">
        <v>150</v>
      </c>
      <c r="D7" s="115">
        <v>80000</v>
      </c>
      <c r="E7" s="117">
        <f t="shared" si="0"/>
        <v>12000000</v>
      </c>
      <c r="F7" s="118">
        <f t="shared" si="1"/>
        <v>12000000</v>
      </c>
      <c r="G7" s="115">
        <v>0</v>
      </c>
      <c r="H7" s="116">
        <v>600</v>
      </c>
      <c r="I7" s="115">
        <v>80000</v>
      </c>
      <c r="J7" s="117">
        <f t="shared" si="2"/>
        <v>48000000</v>
      </c>
      <c r="K7" s="118">
        <f t="shared" si="3"/>
        <v>48000000</v>
      </c>
      <c r="L7" s="131">
        <f t="shared" si="4"/>
        <v>60000000</v>
      </c>
    </row>
    <row r="8" spans="1:12" ht="76.5" hidden="1">
      <c r="A8" s="130" t="s">
        <v>27</v>
      </c>
      <c r="B8" s="115">
        <v>0</v>
      </c>
      <c r="C8" s="116">
        <v>350</v>
      </c>
      <c r="D8" s="115">
        <v>47500</v>
      </c>
      <c r="E8" s="117">
        <f t="shared" si="0"/>
        <v>16625000</v>
      </c>
      <c r="F8" s="118">
        <f t="shared" si="1"/>
        <v>16625000</v>
      </c>
      <c r="G8" s="115">
        <v>0</v>
      </c>
      <c r="H8" s="116">
        <v>1400</v>
      </c>
      <c r="I8" s="115">
        <v>47500</v>
      </c>
      <c r="J8" s="117">
        <f t="shared" si="2"/>
        <v>66500000</v>
      </c>
      <c r="K8" s="118">
        <f t="shared" si="3"/>
        <v>66500000</v>
      </c>
      <c r="L8" s="131">
        <f t="shared" si="4"/>
        <v>83125000</v>
      </c>
    </row>
    <row r="9" spans="1:12" ht="204" hidden="1">
      <c r="A9" s="130" t="s">
        <v>28</v>
      </c>
      <c r="B9" s="115">
        <v>400000</v>
      </c>
      <c r="C9" s="116">
        <v>0</v>
      </c>
      <c r="D9" s="115"/>
      <c r="E9" s="117">
        <f t="shared" si="0"/>
        <v>0</v>
      </c>
      <c r="F9" s="118">
        <f t="shared" si="1"/>
        <v>400000</v>
      </c>
      <c r="G9" s="115">
        <v>300000</v>
      </c>
      <c r="H9" s="116">
        <v>0</v>
      </c>
      <c r="I9" s="115"/>
      <c r="J9" s="117">
        <f t="shared" si="2"/>
        <v>0</v>
      </c>
      <c r="K9" s="118">
        <f t="shared" si="3"/>
        <v>300000</v>
      </c>
      <c r="L9" s="131">
        <f t="shared" si="4"/>
        <v>700000</v>
      </c>
    </row>
    <row r="10" spans="1:12" ht="76.5" hidden="1">
      <c r="A10" s="130" t="s">
        <v>29</v>
      </c>
      <c r="B10" s="115">
        <v>700000</v>
      </c>
      <c r="C10" s="116">
        <v>0</v>
      </c>
      <c r="D10" s="115"/>
      <c r="E10" s="117">
        <f t="shared" si="0"/>
        <v>0</v>
      </c>
      <c r="F10" s="118">
        <f t="shared" si="1"/>
        <v>700000</v>
      </c>
      <c r="G10" s="115">
        <v>0</v>
      </c>
      <c r="H10" s="116">
        <v>0</v>
      </c>
      <c r="I10" s="115"/>
      <c r="J10" s="117">
        <f t="shared" si="2"/>
        <v>0</v>
      </c>
      <c r="K10" s="118">
        <f t="shared" si="3"/>
        <v>0</v>
      </c>
      <c r="L10" s="131">
        <f t="shared" si="4"/>
        <v>700000</v>
      </c>
    </row>
    <row r="11" spans="1:12" ht="89.25" hidden="1">
      <c r="A11" s="130" t="s">
        <v>30</v>
      </c>
      <c r="B11" s="115">
        <v>300000</v>
      </c>
      <c r="C11" s="116">
        <v>0</v>
      </c>
      <c r="D11" s="115"/>
      <c r="E11" s="117">
        <f t="shared" si="0"/>
        <v>0</v>
      </c>
      <c r="F11" s="118">
        <f t="shared" si="1"/>
        <v>300000</v>
      </c>
      <c r="G11" s="115">
        <v>0</v>
      </c>
      <c r="H11" s="116">
        <v>0</v>
      </c>
      <c r="I11" s="115"/>
      <c r="J11" s="117">
        <f t="shared" si="2"/>
        <v>0</v>
      </c>
      <c r="K11" s="118">
        <f t="shared" si="3"/>
        <v>0</v>
      </c>
      <c r="L11" s="131">
        <f t="shared" si="4"/>
        <v>300000</v>
      </c>
    </row>
    <row r="12" spans="1:12" ht="216.75" hidden="1">
      <c r="A12" s="130" t="s">
        <v>31</v>
      </c>
      <c r="B12" s="115">
        <v>300000</v>
      </c>
      <c r="C12" s="116">
        <v>0</v>
      </c>
      <c r="D12" s="115"/>
      <c r="E12" s="117">
        <f t="shared" si="0"/>
        <v>0</v>
      </c>
      <c r="F12" s="118">
        <f t="shared" si="1"/>
        <v>300000</v>
      </c>
      <c r="G12" s="115">
        <v>300000</v>
      </c>
      <c r="H12" s="116">
        <v>0</v>
      </c>
      <c r="I12" s="115"/>
      <c r="J12" s="117">
        <f t="shared" si="2"/>
        <v>0</v>
      </c>
      <c r="K12" s="118">
        <f t="shared" si="3"/>
        <v>300000</v>
      </c>
      <c r="L12" s="131">
        <f t="shared" si="4"/>
        <v>600000</v>
      </c>
    </row>
    <row r="13" spans="1:12" ht="76.5" hidden="1">
      <c r="A13" s="130" t="s">
        <v>32</v>
      </c>
      <c r="B13" s="115">
        <v>800000</v>
      </c>
      <c r="C13" s="116">
        <v>0</v>
      </c>
      <c r="D13" s="115"/>
      <c r="E13" s="117">
        <f t="shared" si="0"/>
        <v>0</v>
      </c>
      <c r="F13" s="118">
        <f t="shared" si="1"/>
        <v>800000</v>
      </c>
      <c r="G13" s="115">
        <v>0</v>
      </c>
      <c r="H13" s="116">
        <v>0</v>
      </c>
      <c r="I13" s="115"/>
      <c r="J13" s="117">
        <f t="shared" si="2"/>
        <v>0</v>
      </c>
      <c r="K13" s="118">
        <f t="shared" si="3"/>
        <v>0</v>
      </c>
      <c r="L13" s="131">
        <f t="shared" si="4"/>
        <v>800000</v>
      </c>
    </row>
    <row r="14" spans="1:12" ht="89.25" hidden="1">
      <c r="A14" s="130" t="s">
        <v>33</v>
      </c>
      <c r="B14" s="115">
        <v>0</v>
      </c>
      <c r="C14" s="116">
        <v>0</v>
      </c>
      <c r="D14" s="115"/>
      <c r="E14" s="117">
        <f t="shared" si="0"/>
        <v>0</v>
      </c>
      <c r="F14" s="118">
        <f t="shared" si="1"/>
        <v>0</v>
      </c>
      <c r="G14" s="115">
        <v>0</v>
      </c>
      <c r="H14" s="116">
        <v>0</v>
      </c>
      <c r="I14" s="115"/>
      <c r="J14" s="117">
        <f t="shared" si="2"/>
        <v>0</v>
      </c>
      <c r="K14" s="118">
        <f t="shared" si="3"/>
        <v>0</v>
      </c>
      <c r="L14" s="131">
        <f t="shared" si="4"/>
        <v>0</v>
      </c>
    </row>
    <row r="15" spans="1:12" ht="76.5" hidden="1">
      <c r="A15" s="130" t="s">
        <v>34</v>
      </c>
      <c r="B15" s="115">
        <v>500000</v>
      </c>
      <c r="C15" s="116">
        <v>0</v>
      </c>
      <c r="D15" s="115"/>
      <c r="E15" s="117">
        <f t="shared" si="0"/>
        <v>0</v>
      </c>
      <c r="F15" s="118">
        <f t="shared" si="1"/>
        <v>500000</v>
      </c>
      <c r="G15" s="115">
        <v>0</v>
      </c>
      <c r="H15" s="116">
        <v>0</v>
      </c>
      <c r="I15" s="115"/>
      <c r="J15" s="117">
        <f t="shared" si="2"/>
        <v>0</v>
      </c>
      <c r="K15" s="118">
        <f t="shared" si="3"/>
        <v>0</v>
      </c>
      <c r="L15" s="131">
        <f t="shared" si="4"/>
        <v>500000</v>
      </c>
    </row>
    <row r="16" spans="1:12" ht="153" hidden="1">
      <c r="A16" s="130" t="s">
        <v>35</v>
      </c>
      <c r="B16" s="115">
        <v>200000</v>
      </c>
      <c r="C16" s="116">
        <v>500</v>
      </c>
      <c r="D16" s="115">
        <v>10000</v>
      </c>
      <c r="E16" s="117">
        <f t="shared" si="0"/>
        <v>5000000</v>
      </c>
      <c r="F16" s="118">
        <f t="shared" si="1"/>
        <v>5200000</v>
      </c>
      <c r="G16" s="115">
        <v>200000</v>
      </c>
      <c r="H16" s="116">
        <v>2000</v>
      </c>
      <c r="I16" s="115">
        <v>10000</v>
      </c>
      <c r="J16" s="117">
        <f t="shared" si="2"/>
        <v>20000000</v>
      </c>
      <c r="K16" s="118">
        <f t="shared" si="3"/>
        <v>20200000</v>
      </c>
      <c r="L16" s="131">
        <f t="shared" si="4"/>
        <v>25400000</v>
      </c>
    </row>
    <row r="17" spans="1:12" ht="63.75" hidden="1">
      <c r="A17" s="130" t="s">
        <v>36</v>
      </c>
      <c r="B17" s="115">
        <v>300000</v>
      </c>
      <c r="C17" s="116">
        <v>0</v>
      </c>
      <c r="D17" s="115"/>
      <c r="E17" s="117">
        <f t="shared" si="0"/>
        <v>0</v>
      </c>
      <c r="F17" s="118">
        <f t="shared" si="1"/>
        <v>300000</v>
      </c>
      <c r="G17" s="115">
        <v>300000</v>
      </c>
      <c r="H17" s="116">
        <v>0</v>
      </c>
      <c r="I17" s="115"/>
      <c r="J17" s="117">
        <f t="shared" si="2"/>
        <v>0</v>
      </c>
      <c r="K17" s="118">
        <f t="shared" si="3"/>
        <v>300000</v>
      </c>
      <c r="L17" s="131">
        <f t="shared" si="4"/>
        <v>600000</v>
      </c>
    </row>
    <row r="18" spans="1:12" ht="15" customHeight="1" hidden="1" thickBot="1">
      <c r="A18" s="119"/>
      <c r="B18" s="115"/>
      <c r="C18" s="116"/>
      <c r="D18" s="115"/>
      <c r="E18" s="117"/>
      <c r="F18" s="132"/>
      <c r="G18" s="115"/>
      <c r="H18" s="116"/>
      <c r="I18" s="115"/>
      <c r="J18" s="117"/>
      <c r="K18" s="132"/>
      <c r="L18" s="133"/>
    </row>
    <row r="19" spans="1:12" ht="18.75" customHeight="1">
      <c r="A19" s="134" t="s">
        <v>66</v>
      </c>
      <c r="B19" s="119">
        <f>'Scenario 3'!D18</f>
        <v>5050000</v>
      </c>
      <c r="C19" s="120">
        <v>980</v>
      </c>
      <c r="D19" s="119"/>
      <c r="E19" s="119">
        <f>'Scenario 3'!G18</f>
        <v>40375000</v>
      </c>
      <c r="F19" s="121">
        <f>'Scenario 3'!H18</f>
        <v>45425000</v>
      </c>
      <c r="G19" s="122">
        <f>'Scenario 3'!I18</f>
        <v>700000</v>
      </c>
      <c r="H19" s="123">
        <f>'Scenario 3'!J18</f>
        <v>4520</v>
      </c>
      <c r="I19" s="122">
        <f>'Scenario 3'!K18</f>
        <v>0</v>
      </c>
      <c r="J19" s="119">
        <f>'Scenario 3'!L18</f>
        <v>145000000</v>
      </c>
      <c r="K19" s="121">
        <f>'Scenario 3'!M18</f>
        <v>145700000</v>
      </c>
      <c r="L19" s="131">
        <f>SUM(F19,K19)</f>
        <v>191125000</v>
      </c>
    </row>
    <row r="20" spans="1:12" ht="32.25" customHeight="1" hidden="1" thickBot="1">
      <c r="A20" s="180"/>
      <c r="B20" s="180"/>
      <c r="C20" s="180"/>
      <c r="D20" s="180"/>
      <c r="E20" s="180"/>
      <c r="F20" s="180"/>
      <c r="G20" s="180"/>
      <c r="H20" s="180"/>
      <c r="I20" s="180"/>
      <c r="J20" s="180"/>
      <c r="K20" s="180"/>
      <c r="L20" s="180"/>
    </row>
    <row r="21" spans="1:12" ht="166.5" customHeight="1" hidden="1" thickBot="1">
      <c r="A21" s="130" t="s">
        <v>37</v>
      </c>
      <c r="B21" s="119">
        <v>0</v>
      </c>
      <c r="C21" s="120">
        <v>7</v>
      </c>
      <c r="D21" s="119">
        <v>500000</v>
      </c>
      <c r="E21" s="119">
        <f aca="true" t="shared" si="5" ref="E21:E29">C21*D21</f>
        <v>3500000</v>
      </c>
      <c r="F21" s="121">
        <f aca="true" t="shared" si="6" ref="F21:F29">SUM(B21,E21)</f>
        <v>3500000</v>
      </c>
      <c r="G21" s="119">
        <v>0</v>
      </c>
      <c r="H21" s="120">
        <v>13</v>
      </c>
      <c r="I21" s="119">
        <v>500000</v>
      </c>
      <c r="J21" s="119">
        <f aca="true" t="shared" si="7" ref="J21:J29">H21*I21</f>
        <v>6500000</v>
      </c>
      <c r="K21" s="121">
        <f aca="true" t="shared" si="8" ref="K21:K29">SUM(G21,J21)</f>
        <v>6500000</v>
      </c>
      <c r="L21" s="121">
        <f aca="true" t="shared" si="9" ref="L21:L29">SUM(K21,F21)</f>
        <v>10000000</v>
      </c>
    </row>
    <row r="22" spans="1:12" ht="39" customHeight="1" hidden="1">
      <c r="A22" s="130" t="s">
        <v>38</v>
      </c>
      <c r="B22" s="119">
        <v>0</v>
      </c>
      <c r="C22" s="120">
        <v>0</v>
      </c>
      <c r="D22" s="119"/>
      <c r="E22" s="119">
        <f t="shared" si="5"/>
        <v>0</v>
      </c>
      <c r="F22" s="121">
        <f t="shared" si="6"/>
        <v>0</v>
      </c>
      <c r="G22" s="119">
        <v>0</v>
      </c>
      <c r="H22" s="120">
        <v>0</v>
      </c>
      <c r="I22" s="119"/>
      <c r="J22" s="119">
        <f t="shared" si="7"/>
        <v>0</v>
      </c>
      <c r="K22" s="121">
        <f t="shared" si="8"/>
        <v>0</v>
      </c>
      <c r="L22" s="121">
        <f t="shared" si="9"/>
        <v>0</v>
      </c>
    </row>
    <row r="23" spans="1:12" ht="64.5" customHeight="1" hidden="1">
      <c r="A23" s="130" t="s">
        <v>39</v>
      </c>
      <c r="B23" s="119">
        <v>0</v>
      </c>
      <c r="C23" s="120">
        <v>0</v>
      </c>
      <c r="D23" s="119"/>
      <c r="E23" s="119">
        <f t="shared" si="5"/>
        <v>0</v>
      </c>
      <c r="F23" s="121">
        <f t="shared" si="6"/>
        <v>0</v>
      </c>
      <c r="G23" s="119">
        <v>0</v>
      </c>
      <c r="H23" s="120">
        <v>0</v>
      </c>
      <c r="I23" s="119"/>
      <c r="J23" s="119">
        <f t="shared" si="7"/>
        <v>0</v>
      </c>
      <c r="K23" s="121">
        <f t="shared" si="8"/>
        <v>0</v>
      </c>
      <c r="L23" s="121">
        <f t="shared" si="9"/>
        <v>0</v>
      </c>
    </row>
    <row r="24" spans="1:12" ht="39" customHeight="1" hidden="1">
      <c r="A24" s="130" t="s">
        <v>40</v>
      </c>
      <c r="B24" s="119">
        <v>0</v>
      </c>
      <c r="C24" s="120">
        <v>0</v>
      </c>
      <c r="D24" s="119"/>
      <c r="E24" s="119">
        <f t="shared" si="5"/>
        <v>0</v>
      </c>
      <c r="F24" s="121">
        <f t="shared" si="6"/>
        <v>0</v>
      </c>
      <c r="G24" s="119">
        <v>0</v>
      </c>
      <c r="H24" s="120">
        <v>0</v>
      </c>
      <c r="I24" s="119"/>
      <c r="J24" s="119">
        <f t="shared" si="7"/>
        <v>0</v>
      </c>
      <c r="K24" s="121">
        <f t="shared" si="8"/>
        <v>0</v>
      </c>
      <c r="L24" s="121">
        <f t="shared" si="9"/>
        <v>0</v>
      </c>
    </row>
    <row r="25" spans="1:12" ht="39" customHeight="1" hidden="1">
      <c r="A25" s="130" t="s">
        <v>41</v>
      </c>
      <c r="B25" s="119">
        <v>300000</v>
      </c>
      <c r="C25" s="120">
        <v>0</v>
      </c>
      <c r="D25" s="119"/>
      <c r="E25" s="119">
        <f t="shared" si="5"/>
        <v>0</v>
      </c>
      <c r="F25" s="121">
        <f t="shared" si="6"/>
        <v>300000</v>
      </c>
      <c r="G25" s="119">
        <v>300000</v>
      </c>
      <c r="H25" s="120">
        <v>0</v>
      </c>
      <c r="I25" s="119"/>
      <c r="J25" s="119">
        <f t="shared" si="7"/>
        <v>0</v>
      </c>
      <c r="K25" s="121">
        <f t="shared" si="8"/>
        <v>300000</v>
      </c>
      <c r="L25" s="121">
        <f t="shared" si="9"/>
        <v>600000</v>
      </c>
    </row>
    <row r="26" spans="1:12" ht="77.25" customHeight="1" hidden="1">
      <c r="A26" s="130" t="s">
        <v>42</v>
      </c>
      <c r="B26" s="119">
        <v>0</v>
      </c>
      <c r="C26" s="120">
        <v>0</v>
      </c>
      <c r="D26" s="119"/>
      <c r="E26" s="119">
        <f t="shared" si="5"/>
        <v>0</v>
      </c>
      <c r="F26" s="121">
        <f t="shared" si="6"/>
        <v>0</v>
      </c>
      <c r="G26" s="119">
        <v>0</v>
      </c>
      <c r="H26" s="120">
        <v>0</v>
      </c>
      <c r="I26" s="119"/>
      <c r="J26" s="119">
        <f t="shared" si="7"/>
        <v>0</v>
      </c>
      <c r="K26" s="121">
        <f t="shared" si="8"/>
        <v>0</v>
      </c>
      <c r="L26" s="121">
        <f t="shared" si="9"/>
        <v>0</v>
      </c>
    </row>
    <row r="27" spans="1:12" ht="51.75" customHeight="1" hidden="1">
      <c r="A27" s="130" t="s">
        <v>43</v>
      </c>
      <c r="B27" s="119">
        <v>200000</v>
      </c>
      <c r="C27" s="120">
        <v>3</v>
      </c>
      <c r="D27" s="119">
        <v>70000</v>
      </c>
      <c r="E27" s="119">
        <f t="shared" si="5"/>
        <v>210000</v>
      </c>
      <c r="F27" s="121">
        <f t="shared" si="6"/>
        <v>410000</v>
      </c>
      <c r="G27" s="119">
        <v>200000</v>
      </c>
      <c r="H27" s="120">
        <v>20</v>
      </c>
      <c r="I27" s="119">
        <v>70000</v>
      </c>
      <c r="J27" s="119">
        <f t="shared" si="7"/>
        <v>1400000</v>
      </c>
      <c r="K27" s="121">
        <f t="shared" si="8"/>
        <v>1600000</v>
      </c>
      <c r="L27" s="121">
        <f t="shared" si="9"/>
        <v>2010000</v>
      </c>
    </row>
    <row r="28" spans="1:12" ht="39" customHeight="1" hidden="1">
      <c r="A28" s="130" t="s">
        <v>44</v>
      </c>
      <c r="B28" s="119">
        <v>200000</v>
      </c>
      <c r="C28" s="120">
        <v>20</v>
      </c>
      <c r="D28" s="119">
        <v>15000</v>
      </c>
      <c r="E28" s="119">
        <f t="shared" si="5"/>
        <v>300000</v>
      </c>
      <c r="F28" s="121">
        <f t="shared" si="6"/>
        <v>500000</v>
      </c>
      <c r="G28" s="119">
        <v>400000</v>
      </c>
      <c r="H28" s="120">
        <v>40</v>
      </c>
      <c r="I28" s="119">
        <v>15000</v>
      </c>
      <c r="J28" s="119">
        <f t="shared" si="7"/>
        <v>600000</v>
      </c>
      <c r="K28" s="121">
        <f t="shared" si="8"/>
        <v>1000000</v>
      </c>
      <c r="L28" s="121">
        <f t="shared" si="9"/>
        <v>1500000</v>
      </c>
    </row>
    <row r="29" spans="1:12" ht="17.25" customHeight="1" hidden="1">
      <c r="A29" s="130" t="s">
        <v>45</v>
      </c>
      <c r="B29" s="119">
        <v>1000000</v>
      </c>
      <c r="C29" s="120">
        <v>0</v>
      </c>
      <c r="D29" s="119"/>
      <c r="E29" s="119">
        <f t="shared" si="5"/>
        <v>0</v>
      </c>
      <c r="F29" s="121">
        <f t="shared" si="6"/>
        <v>1000000</v>
      </c>
      <c r="G29" s="119">
        <v>1000000</v>
      </c>
      <c r="H29" s="120">
        <v>0</v>
      </c>
      <c r="I29" s="119"/>
      <c r="J29" s="119">
        <f t="shared" si="7"/>
        <v>0</v>
      </c>
      <c r="K29" s="121">
        <f t="shared" si="8"/>
        <v>1000000</v>
      </c>
      <c r="L29" s="121">
        <f t="shared" si="9"/>
        <v>2000000</v>
      </c>
    </row>
    <row r="30" spans="1:12" ht="9.75" customHeight="1" hidden="1">
      <c r="A30" s="119"/>
      <c r="B30" s="119"/>
      <c r="C30" s="120"/>
      <c r="D30" s="119"/>
      <c r="E30" s="119"/>
      <c r="F30" s="119"/>
      <c r="G30" s="119"/>
      <c r="H30" s="120"/>
      <c r="I30" s="119"/>
      <c r="J30" s="119"/>
      <c r="K30" s="119"/>
      <c r="L30" s="119"/>
    </row>
    <row r="31" spans="1:12" ht="18.75" customHeight="1">
      <c r="A31" s="134" t="s">
        <v>67</v>
      </c>
      <c r="B31" s="119">
        <f>'Scenario 3'!D31</f>
        <v>5525000</v>
      </c>
      <c r="C31" s="120">
        <v>4650000</v>
      </c>
      <c r="D31" s="119">
        <v>4650000</v>
      </c>
      <c r="E31" s="119">
        <f>'Scenario 3'!G31</f>
        <v>10650000</v>
      </c>
      <c r="F31" s="121">
        <f>'Scenario 3'!H31</f>
        <v>16175000</v>
      </c>
      <c r="G31" s="122">
        <f>'Scenario 3'!I31</f>
        <v>5275000</v>
      </c>
      <c r="H31" s="123">
        <f>'Scenario 3'!J31</f>
        <v>102</v>
      </c>
      <c r="I31" s="122">
        <f>'Scenario 3'!K31</f>
        <v>0</v>
      </c>
      <c r="J31" s="119">
        <f>'Scenario 3'!L31</f>
        <v>11550000</v>
      </c>
      <c r="K31" s="121">
        <f>'Scenario 3'!M31</f>
        <v>16825000</v>
      </c>
      <c r="L31" s="131">
        <f>SUM(F31,K31)</f>
        <v>33000000</v>
      </c>
    </row>
    <row r="32" spans="1:12" ht="14.25" customHeight="1">
      <c r="A32" s="135"/>
      <c r="B32" s="136"/>
      <c r="C32" s="136"/>
      <c r="D32" s="136"/>
      <c r="E32" s="136"/>
      <c r="F32" s="136"/>
      <c r="G32" s="136"/>
      <c r="H32" s="136"/>
      <c r="I32" s="135"/>
      <c r="J32" s="136"/>
      <c r="K32" s="136"/>
      <c r="L32" s="136"/>
    </row>
    <row r="33" spans="1:12" ht="19.5" customHeight="1">
      <c r="A33" s="176" t="s">
        <v>68</v>
      </c>
      <c r="B33" s="177"/>
      <c r="C33" s="177"/>
      <c r="D33" s="177"/>
      <c r="E33" s="177"/>
      <c r="F33" s="177"/>
      <c r="G33" s="177"/>
      <c r="H33" s="177"/>
      <c r="I33" s="177"/>
      <c r="J33" s="177"/>
      <c r="K33" s="177"/>
      <c r="L33" s="178"/>
    </row>
    <row r="34" spans="1:12" ht="15">
      <c r="A34" s="134" t="s">
        <v>73</v>
      </c>
      <c r="B34" s="119">
        <f>'Scenario 3'!D34</f>
        <v>2400000</v>
      </c>
      <c r="C34" s="120">
        <f>'Scenario 3'!E34</f>
        <v>0</v>
      </c>
      <c r="D34" s="119">
        <f>'Scenario 3'!F34</f>
        <v>0</v>
      </c>
      <c r="E34" s="119">
        <f>'Scenario 3'!G34</f>
        <v>0</v>
      </c>
      <c r="F34" s="121">
        <f>B34+E34</f>
        <v>2400000</v>
      </c>
      <c r="G34" s="122">
        <f>'Scenario 3'!I34</f>
        <v>1200000</v>
      </c>
      <c r="H34" s="123">
        <f>'Scenario 3'!J34</f>
        <v>0</v>
      </c>
      <c r="I34" s="122">
        <f>'Scenario 3'!K34</f>
        <v>0</v>
      </c>
      <c r="J34" s="119">
        <f>'Scenario 3'!L34</f>
        <v>0</v>
      </c>
      <c r="K34" s="121">
        <f>G34+J34</f>
        <v>1200000</v>
      </c>
      <c r="L34" s="131">
        <f>SUM(F34,K34)</f>
        <v>3600000</v>
      </c>
    </row>
    <row r="35" spans="1:12" ht="15">
      <c r="A35" s="134" t="s">
        <v>69</v>
      </c>
      <c r="B35" s="119">
        <f>'Scenario 3'!D35</f>
        <v>0</v>
      </c>
      <c r="C35" s="120">
        <f>'Scenario 3'!E35</f>
        <v>15</v>
      </c>
      <c r="D35" s="119">
        <f>'Scenario 3'!F35</f>
        <v>150000</v>
      </c>
      <c r="E35" s="119">
        <f>'Scenario 3'!G35</f>
        <v>2250000</v>
      </c>
      <c r="F35" s="121">
        <f>B35+E35</f>
        <v>2250000</v>
      </c>
      <c r="G35" s="122">
        <f>'Scenario 3'!I35</f>
        <v>0</v>
      </c>
      <c r="H35" s="123">
        <f>'Scenario 3'!J35</f>
        <v>15</v>
      </c>
      <c r="I35" s="122">
        <f>'Scenario 3'!K35</f>
        <v>150000</v>
      </c>
      <c r="J35" s="119">
        <f>'Scenario 3'!L35</f>
        <v>2250000</v>
      </c>
      <c r="K35" s="121">
        <f>G35+J35</f>
        <v>2250000</v>
      </c>
      <c r="L35" s="131">
        <f>SUM(F35,K35)</f>
        <v>4500000</v>
      </c>
    </row>
    <row r="36" spans="1:12" ht="15">
      <c r="A36" s="134" t="s">
        <v>61</v>
      </c>
      <c r="B36" s="119">
        <f>'Scenario 3'!D36</f>
        <v>1100000</v>
      </c>
      <c r="C36" s="120">
        <f>'Scenario 3'!E36</f>
        <v>0</v>
      </c>
      <c r="D36" s="119">
        <f>'Scenario 3'!F36</f>
        <v>0</v>
      </c>
      <c r="E36" s="119">
        <f>'Scenario 3'!G36</f>
        <v>0</v>
      </c>
      <c r="F36" s="121">
        <f>B36+E36</f>
        <v>1100000</v>
      </c>
      <c r="G36" s="122">
        <f>'Scenario 3'!I36</f>
        <v>600000</v>
      </c>
      <c r="H36" s="123">
        <f>'Scenario 3'!J36</f>
        <v>0</v>
      </c>
      <c r="I36" s="122">
        <f>'Scenario 3'!K36</f>
        <v>0</v>
      </c>
      <c r="J36" s="119">
        <f>'Scenario 3'!L36</f>
        <v>0</v>
      </c>
      <c r="K36" s="121">
        <f>G36+J36</f>
        <v>600000</v>
      </c>
      <c r="L36" s="131">
        <f>SUM(F36,K36)</f>
        <v>1700000</v>
      </c>
    </row>
    <row r="37" spans="1:12" ht="15">
      <c r="A37" s="134" t="s">
        <v>62</v>
      </c>
      <c r="B37" s="119">
        <f>'Scenario 3'!D37</f>
        <v>500000</v>
      </c>
      <c r="C37" s="120">
        <f>'Scenario 3'!E37</f>
        <v>0</v>
      </c>
      <c r="D37" s="119">
        <f>'Scenario 3'!F37</f>
        <v>0</v>
      </c>
      <c r="E37" s="119">
        <f>'Scenario 3'!G37</f>
        <v>0</v>
      </c>
      <c r="F37" s="121">
        <f>B37+E37</f>
        <v>500000</v>
      </c>
      <c r="G37" s="122">
        <f>'Scenario 3'!I37</f>
        <v>500000</v>
      </c>
      <c r="H37" s="123">
        <f>'Scenario 3'!J37</f>
        <v>0</v>
      </c>
      <c r="I37" s="122">
        <f>'Scenario 3'!K37</f>
        <v>0</v>
      </c>
      <c r="J37" s="119">
        <f>'Scenario 3'!L37</f>
        <v>0</v>
      </c>
      <c r="K37" s="121">
        <f>G37+J37</f>
        <v>500000</v>
      </c>
      <c r="L37" s="131">
        <f>SUM(F37,K37)</f>
        <v>1000000</v>
      </c>
    </row>
    <row r="38" spans="1:12" ht="16.5" customHeight="1">
      <c r="A38" s="137"/>
      <c r="B38" s="138">
        <f>SUM(B34:B37)</f>
        <v>4000000</v>
      </c>
      <c r="C38" s="139">
        <v>36</v>
      </c>
      <c r="D38" s="138"/>
      <c r="E38" s="138">
        <f aca="true" t="shared" si="10" ref="E38:K38">SUM(E34:E37)</f>
        <v>2250000</v>
      </c>
      <c r="F38" s="138">
        <f t="shared" si="10"/>
        <v>6250000</v>
      </c>
      <c r="G38" s="138">
        <f t="shared" si="10"/>
        <v>2300000</v>
      </c>
      <c r="H38" s="139">
        <f t="shared" si="10"/>
        <v>15</v>
      </c>
      <c r="I38" s="138">
        <f t="shared" si="10"/>
        <v>150000</v>
      </c>
      <c r="J38" s="138">
        <f t="shared" si="10"/>
        <v>2250000</v>
      </c>
      <c r="K38" s="138">
        <f t="shared" si="10"/>
        <v>4550000</v>
      </c>
      <c r="L38" s="138">
        <f>SUM(L34:L37)</f>
        <v>10800000</v>
      </c>
    </row>
    <row r="39" spans="1:12" ht="11.25" customHeight="1" thickBot="1">
      <c r="A39" s="140"/>
      <c r="B39" s="140"/>
      <c r="C39" s="141"/>
      <c r="D39" s="140"/>
      <c r="E39" s="140"/>
      <c r="F39" s="140"/>
      <c r="G39" s="140"/>
      <c r="H39" s="141"/>
      <c r="I39" s="140"/>
      <c r="J39" s="140"/>
      <c r="K39" s="140"/>
      <c r="L39" s="140"/>
    </row>
    <row r="40" spans="1:12" ht="20.25" customHeight="1" thickBot="1">
      <c r="A40" s="142" t="s">
        <v>3</v>
      </c>
      <c r="B40" s="143">
        <f aca="true" t="shared" si="11" ref="B40:K40">SUM(B38,B31,B19)</f>
        <v>14575000</v>
      </c>
      <c r="C40" s="144">
        <f t="shared" si="11"/>
        <v>4651016</v>
      </c>
      <c r="D40" s="143">
        <f t="shared" si="11"/>
        <v>4650000</v>
      </c>
      <c r="E40" s="143">
        <f t="shared" si="11"/>
        <v>53275000</v>
      </c>
      <c r="F40" s="143">
        <f t="shared" si="11"/>
        <v>67850000</v>
      </c>
      <c r="G40" s="143">
        <f t="shared" si="11"/>
        <v>8275000</v>
      </c>
      <c r="H40" s="144">
        <f t="shared" si="11"/>
        <v>4637</v>
      </c>
      <c r="I40" s="143">
        <f t="shared" si="11"/>
        <v>150000</v>
      </c>
      <c r="J40" s="143">
        <f t="shared" si="11"/>
        <v>158800000</v>
      </c>
      <c r="K40" s="143">
        <f t="shared" si="11"/>
        <v>167075000</v>
      </c>
      <c r="L40" s="124">
        <f>SUM(L38,L31,L19)</f>
        <v>234925000</v>
      </c>
    </row>
    <row r="41" spans="1:12" ht="21" customHeight="1" thickBot="1">
      <c r="A41" s="1"/>
      <c r="B41" s="1"/>
      <c r="C41" s="3"/>
      <c r="D41" s="1"/>
      <c r="E41" s="1"/>
      <c r="F41" s="1"/>
      <c r="G41" s="1"/>
      <c r="H41" s="3"/>
      <c r="I41" s="53" t="s">
        <v>3</v>
      </c>
      <c r="L41" s="51">
        <f>L40</f>
        <v>234925000</v>
      </c>
    </row>
    <row r="43" ht="15">
      <c r="L43" s="58">
        <f>L41-'Scenario 3'!N41</f>
        <v>0</v>
      </c>
    </row>
  </sheetData>
  <sheetProtection/>
  <mergeCells count="10">
    <mergeCell ref="A33:L33"/>
    <mergeCell ref="J3:J4"/>
    <mergeCell ref="A20:L20"/>
    <mergeCell ref="A2:A4"/>
    <mergeCell ref="L2:L3"/>
    <mergeCell ref="B2:F2"/>
    <mergeCell ref="G2:K2"/>
    <mergeCell ref="F3:F4"/>
    <mergeCell ref="K3:K4"/>
    <mergeCell ref="E3:E4"/>
  </mergeCells>
  <printOptions horizontalCentered="1"/>
  <pageMargins left="0.35433070866141736" right="0.35433070866141736" top="0.97" bottom="0.25" header="0.42" footer="0.26"/>
  <pageSetup fitToHeight="0" fitToWidth="1" horizontalDpi="600" verticalDpi="600" orientation="landscape" paperSize="9" r:id="rId1"/>
  <headerFooter alignWithMargins="0">
    <oddHeader>&amp;C&amp;"Calibri,Bold"&amp;14
&amp;A 
PRMN pour l'Afrique Centrale&amp;RPage &amp;P</oddHeader>
  </headerFooter>
  <rowBreaks count="2" manualBreakCount="2">
    <brk id="20" max="255" man="1"/>
    <brk id="35"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F50" sqref="F50:I53"/>
    </sheetView>
  </sheetViews>
  <sheetFormatPr defaultColWidth="9.140625" defaultRowHeight="15"/>
  <cols>
    <col min="1" max="1" width="19.8515625" style="0" customWidth="1"/>
    <col min="2" max="4" width="17.140625" style="0" customWidth="1"/>
    <col min="6" max="6" width="19.8515625" style="0" customWidth="1"/>
    <col min="7" max="9" width="17.140625" style="0" customWidth="1"/>
  </cols>
  <sheetData>
    <row r="1" spans="1:8" ht="15">
      <c r="A1">
        <v>1330</v>
      </c>
      <c r="B1">
        <v>1995</v>
      </c>
      <c r="C1">
        <v>2660</v>
      </c>
      <c r="F1">
        <f>'Scenario 1'!$T6</f>
        <v>0</v>
      </c>
      <c r="G1">
        <f>'Scenario 2'!$T6</f>
        <v>0</v>
      </c>
      <c r="H1">
        <f>'Scenario 3'!$T6</f>
        <v>0</v>
      </c>
    </row>
    <row r="2" spans="1:8" ht="15">
      <c r="A2">
        <v>280</v>
      </c>
      <c r="B2">
        <v>420</v>
      </c>
      <c r="C2">
        <v>560</v>
      </c>
      <c r="F2">
        <f>'Scenario 1'!$T7</f>
        <v>0</v>
      </c>
      <c r="G2">
        <f>'Scenario 2'!$T7</f>
        <v>0</v>
      </c>
      <c r="H2">
        <f>'Scenario 3'!$T7</f>
        <v>0</v>
      </c>
    </row>
    <row r="3" spans="1:8" ht="15">
      <c r="A3">
        <v>525</v>
      </c>
      <c r="B3">
        <v>787</v>
      </c>
      <c r="C3">
        <v>1050</v>
      </c>
      <c r="F3">
        <f>'Scenario 1'!$T8</f>
        <v>0</v>
      </c>
      <c r="G3">
        <v>787</v>
      </c>
      <c r="H3">
        <f>'Scenario 3'!$T8</f>
        <v>0</v>
      </c>
    </row>
    <row r="4" spans="1:8" ht="15">
      <c r="A4">
        <v>525</v>
      </c>
      <c r="B4">
        <v>788</v>
      </c>
      <c r="C4">
        <v>1050</v>
      </c>
      <c r="F4">
        <f>'Scenario 1'!$T9</f>
        <v>0</v>
      </c>
      <c r="G4">
        <v>788</v>
      </c>
      <c r="H4">
        <f>'Scenario 3'!$T9</f>
        <v>0</v>
      </c>
    </row>
    <row r="5" spans="1:8" ht="15">
      <c r="A5">
        <v>1330</v>
      </c>
      <c r="B5">
        <v>1995</v>
      </c>
      <c r="C5">
        <v>2660</v>
      </c>
      <c r="F5">
        <f>'Scenario 1'!$T10</f>
        <v>0</v>
      </c>
      <c r="G5">
        <f>'Scenario 2'!$T10</f>
        <v>0</v>
      </c>
      <c r="H5">
        <f>'Scenario 3'!$T10</f>
        <v>0</v>
      </c>
    </row>
    <row r="6" spans="1:8" ht="15">
      <c r="A6">
        <v>2660</v>
      </c>
      <c r="B6">
        <v>3990</v>
      </c>
      <c r="C6">
        <v>5320</v>
      </c>
      <c r="F6">
        <f>'Scenario 1'!$T11</f>
        <v>0</v>
      </c>
      <c r="G6">
        <f>'Scenario 2'!$T11</f>
        <v>0</v>
      </c>
      <c r="H6">
        <f>'Scenario 3'!$T11</f>
        <v>0</v>
      </c>
    </row>
    <row r="7" spans="1:8" ht="15">
      <c r="A7">
        <v>28</v>
      </c>
      <c r="B7">
        <v>28</v>
      </c>
      <c r="C7">
        <v>28</v>
      </c>
      <c r="F7">
        <f>'Scenario 1'!$T12</f>
        <v>0</v>
      </c>
      <c r="G7">
        <f>'Scenario 2'!$T12</f>
        <v>0</v>
      </c>
      <c r="H7">
        <f>'Scenario 3'!$T12</f>
        <v>0</v>
      </c>
    </row>
    <row r="10" spans="2:4" ht="15">
      <c r="B10">
        <v>1</v>
      </c>
      <c r="C10">
        <f>C21/B21</f>
        <v>1.5</v>
      </c>
      <c r="D10">
        <f>D21/B21</f>
        <v>2</v>
      </c>
    </row>
    <row r="11" spans="2:4" ht="15">
      <c r="B11">
        <v>1</v>
      </c>
      <c r="C11">
        <f>C22/B22</f>
        <v>1.499047619047619</v>
      </c>
      <c r="D11">
        <f>D22/B22</f>
        <v>2</v>
      </c>
    </row>
    <row r="12" spans="2:4" ht="15">
      <c r="B12">
        <v>1</v>
      </c>
      <c r="C12">
        <f>C23/B23</f>
        <v>1.500952380952381</v>
      </c>
      <c r="D12">
        <f>D23/B23</f>
        <v>2</v>
      </c>
    </row>
    <row r="17" ht="15.75" thickBot="1"/>
    <row r="18" spans="1:9" ht="30.75" thickBot="1">
      <c r="A18" s="59" t="s">
        <v>150</v>
      </c>
      <c r="B18" s="60" t="s">
        <v>102</v>
      </c>
      <c r="C18" s="60" t="s">
        <v>103</v>
      </c>
      <c r="D18" s="60" t="s">
        <v>104</v>
      </c>
      <c r="F18" s="59" t="s">
        <v>151</v>
      </c>
      <c r="G18" s="60" t="s">
        <v>102</v>
      </c>
      <c r="H18" s="60" t="s">
        <v>103</v>
      </c>
      <c r="I18" s="60" t="s">
        <v>104</v>
      </c>
    </row>
    <row r="19" spans="1:9" ht="15.75" thickBot="1">
      <c r="A19" s="61"/>
      <c r="B19" s="62"/>
      <c r="C19" s="62"/>
      <c r="D19" s="62"/>
      <c r="F19" s="113">
        <v>15</v>
      </c>
      <c r="G19" s="62"/>
      <c r="H19" s="62"/>
      <c r="I19" s="62"/>
    </row>
    <row r="20" spans="1:13" ht="31.5">
      <c r="A20" s="63" t="s">
        <v>105</v>
      </c>
      <c r="B20" s="66">
        <f>SUM(B21:B23)</f>
        <v>1330</v>
      </c>
      <c r="C20" s="66">
        <f>SUM(C21:C23)</f>
        <v>1995</v>
      </c>
      <c r="D20" s="66">
        <f>SUM(D21:D23)</f>
        <v>2660</v>
      </c>
      <c r="E20">
        <f>B20/14</f>
        <v>95</v>
      </c>
      <c r="F20" s="63" t="s">
        <v>105</v>
      </c>
      <c r="G20" s="66">
        <f>SUM(G21:G23)</f>
        <v>1425</v>
      </c>
      <c r="H20" s="66">
        <f>SUM(H21:H23)</f>
        <v>2130</v>
      </c>
      <c r="I20" s="66">
        <f>SUM(I21:I23)</f>
        <v>2850</v>
      </c>
      <c r="K20">
        <f aca="true" t="shared" si="0" ref="K20:M23">G20/B20*14</f>
        <v>15</v>
      </c>
      <c r="L20">
        <f t="shared" si="0"/>
        <v>14.947368421052632</v>
      </c>
      <c r="M20">
        <f t="shared" si="0"/>
        <v>15</v>
      </c>
    </row>
    <row r="21" spans="1:13" ht="15.75">
      <c r="A21" s="64" t="s">
        <v>106</v>
      </c>
      <c r="B21" s="67">
        <v>280</v>
      </c>
      <c r="C21" s="67">
        <v>420</v>
      </c>
      <c r="D21" s="67">
        <v>560</v>
      </c>
      <c r="E21">
        <f>B21/14</f>
        <v>20</v>
      </c>
      <c r="F21" s="64" t="s">
        <v>106</v>
      </c>
      <c r="G21" s="67">
        <f>$F$19*$E21*B10</f>
        <v>300</v>
      </c>
      <c r="H21" s="67">
        <f>$F$19*$E21*C10</f>
        <v>450</v>
      </c>
      <c r="I21" s="67">
        <f>$F$19*$E21*D10</f>
        <v>600</v>
      </c>
      <c r="K21">
        <f t="shared" si="0"/>
        <v>15</v>
      </c>
      <c r="L21">
        <f t="shared" si="0"/>
        <v>15</v>
      </c>
      <c r="M21">
        <f t="shared" si="0"/>
        <v>15</v>
      </c>
    </row>
    <row r="22" spans="1:13" ht="15.75">
      <c r="A22" s="64" t="s">
        <v>107</v>
      </c>
      <c r="B22" s="67">
        <v>525</v>
      </c>
      <c r="C22" s="67">
        <v>787</v>
      </c>
      <c r="D22" s="67">
        <v>1050</v>
      </c>
      <c r="E22">
        <f>B22/14</f>
        <v>37.5</v>
      </c>
      <c r="F22" s="64" t="s">
        <v>107</v>
      </c>
      <c r="G22" s="67">
        <v>555</v>
      </c>
      <c r="H22" s="67">
        <v>840</v>
      </c>
      <c r="I22" s="67">
        <f>$F$19*$E22*D11</f>
        <v>1125</v>
      </c>
      <c r="J22">
        <f>37*15</f>
        <v>555</v>
      </c>
      <c r="K22">
        <f t="shared" si="0"/>
        <v>14.8</v>
      </c>
      <c r="L22">
        <f t="shared" si="0"/>
        <v>14.9428208386277</v>
      </c>
      <c r="M22">
        <f t="shared" si="0"/>
        <v>15</v>
      </c>
    </row>
    <row r="23" spans="1:13" ht="15.75">
      <c r="A23" s="64" t="s">
        <v>108</v>
      </c>
      <c r="B23" s="67">
        <v>525</v>
      </c>
      <c r="C23" s="67">
        <v>788</v>
      </c>
      <c r="D23" s="67">
        <v>1050</v>
      </c>
      <c r="E23">
        <f>B23/14</f>
        <v>37.5</v>
      </c>
      <c r="F23" s="64" t="s">
        <v>108</v>
      </c>
      <c r="G23" s="67">
        <f>I23-G22</f>
        <v>570</v>
      </c>
      <c r="H23" s="67">
        <v>840</v>
      </c>
      <c r="I23" s="67">
        <f>$F$19*$E23*D12</f>
        <v>1125</v>
      </c>
      <c r="J23">
        <f>56*15</f>
        <v>840</v>
      </c>
      <c r="K23">
        <f t="shared" si="0"/>
        <v>15.2</v>
      </c>
      <c r="L23">
        <f t="shared" si="0"/>
        <v>14.923857868020306</v>
      </c>
      <c r="M23">
        <f t="shared" si="0"/>
        <v>15</v>
      </c>
    </row>
    <row r="24" spans="1:10" ht="16.5" thickBot="1">
      <c r="A24" s="65"/>
      <c r="B24" s="68"/>
      <c r="C24" s="68"/>
      <c r="D24" s="68"/>
      <c r="F24" s="65"/>
      <c r="G24" s="68"/>
      <c r="H24" s="68"/>
      <c r="I24" s="68"/>
      <c r="J24">
        <v>1688</v>
      </c>
    </row>
    <row r="25" spans="1:13" ht="15" customHeight="1">
      <c r="A25" s="190" t="s">
        <v>109</v>
      </c>
      <c r="B25" s="192">
        <f>B20</f>
        <v>1330</v>
      </c>
      <c r="C25" s="192">
        <f>C20</f>
        <v>1995</v>
      </c>
      <c r="D25" s="192">
        <f>D20</f>
        <v>2660</v>
      </c>
      <c r="E25">
        <f>B25/14</f>
        <v>95</v>
      </c>
      <c r="F25" s="190" t="s">
        <v>109</v>
      </c>
      <c r="G25" s="192">
        <f>G20</f>
        <v>1425</v>
      </c>
      <c r="H25" s="192">
        <f>H20</f>
        <v>2130</v>
      </c>
      <c r="I25" s="192">
        <f>I20</f>
        <v>2850</v>
      </c>
      <c r="J25">
        <f>H23/15</f>
        <v>56</v>
      </c>
      <c r="K25">
        <f>G25/B25*14</f>
        <v>15</v>
      </c>
      <c r="L25">
        <f>H25/C25*14</f>
        <v>14.947368421052632</v>
      </c>
      <c r="M25">
        <f>I25/D25*14</f>
        <v>15</v>
      </c>
    </row>
    <row r="26" spans="1:10" ht="15.75" customHeight="1" thickBot="1">
      <c r="A26" s="191"/>
      <c r="B26" s="193"/>
      <c r="C26" s="193"/>
      <c r="D26" s="193"/>
      <c r="F26" s="191"/>
      <c r="G26" s="193"/>
      <c r="H26" s="193"/>
      <c r="I26" s="193"/>
      <c r="J26">
        <f>I23/2*1.5*2</f>
        <v>1687.5</v>
      </c>
    </row>
    <row r="27" spans="1:13" ht="15" customHeight="1">
      <c r="A27" s="186" t="s">
        <v>110</v>
      </c>
      <c r="B27" s="188">
        <f>B25+B20</f>
        <v>2660</v>
      </c>
      <c r="C27" s="188">
        <f>C25+C20</f>
        <v>3990</v>
      </c>
      <c r="D27" s="188">
        <f>D25+D20</f>
        <v>5320</v>
      </c>
      <c r="E27">
        <f>B27/14</f>
        <v>190</v>
      </c>
      <c r="F27" s="186" t="s">
        <v>110</v>
      </c>
      <c r="G27" s="188">
        <f>G25+G20</f>
        <v>2850</v>
      </c>
      <c r="H27" s="188">
        <f>H25+H20</f>
        <v>4260</v>
      </c>
      <c r="I27" s="188">
        <f>I25+I20</f>
        <v>5700</v>
      </c>
      <c r="J27">
        <f>J26/15</f>
        <v>112.5</v>
      </c>
      <c r="K27">
        <f>G27/B27*14</f>
        <v>15</v>
      </c>
      <c r="L27">
        <f>H27/C27*14</f>
        <v>14.947368421052632</v>
      </c>
      <c r="M27">
        <f>I27/D27*14</f>
        <v>15</v>
      </c>
    </row>
    <row r="28" spans="1:9" ht="15.75" customHeight="1" thickBot="1">
      <c r="A28" s="187"/>
      <c r="B28" s="189"/>
      <c r="C28" s="189"/>
      <c r="D28" s="189"/>
      <c r="F28" s="187"/>
      <c r="G28" s="189"/>
      <c r="H28" s="189"/>
      <c r="I28" s="189"/>
    </row>
    <row r="29" spans="1:13" ht="32.25" thickBot="1">
      <c r="A29" s="69" t="s">
        <v>111</v>
      </c>
      <c r="B29" s="70">
        <v>28</v>
      </c>
      <c r="C29" s="70">
        <v>28</v>
      </c>
      <c r="D29" s="70">
        <v>28</v>
      </c>
      <c r="E29">
        <f>B29/14</f>
        <v>2</v>
      </c>
      <c r="F29" s="69" t="s">
        <v>111</v>
      </c>
      <c r="G29" s="114">
        <v>30</v>
      </c>
      <c r="H29" s="114">
        <v>30</v>
      </c>
      <c r="I29" s="114">
        <v>30</v>
      </c>
      <c r="K29">
        <f>G29/B29*14</f>
        <v>15</v>
      </c>
      <c r="L29">
        <f>H29/C29*14</f>
        <v>15</v>
      </c>
      <c r="M29">
        <f>I29/D29*14</f>
        <v>15</v>
      </c>
    </row>
    <row r="32" spans="7:9" ht="15">
      <c r="G32">
        <f>'Scenario 1'!$O7</f>
        <v>300</v>
      </c>
      <c r="H32">
        <f>'Scenario 2'!$O7</f>
        <v>450</v>
      </c>
      <c r="I32">
        <f>'Scenario 3'!$O7</f>
        <v>600</v>
      </c>
    </row>
    <row r="33" spans="2:9" ht="15">
      <c r="B33">
        <v>1330</v>
      </c>
      <c r="C33">
        <v>1330</v>
      </c>
      <c r="D33">
        <v>28</v>
      </c>
      <c r="G33">
        <f>'Scenario 1'!$O8</f>
        <v>1125</v>
      </c>
      <c r="H33">
        <f>'Scenario 2'!$O8</f>
        <v>1680</v>
      </c>
      <c r="I33">
        <f>'Scenario 3'!$O8</f>
        <v>2250</v>
      </c>
    </row>
    <row r="34" spans="2:9" ht="15">
      <c r="B34">
        <v>1995</v>
      </c>
      <c r="C34">
        <v>1995</v>
      </c>
      <c r="D34">
        <v>28</v>
      </c>
      <c r="G34">
        <f>'Scenario 1'!$O17</f>
        <v>1425</v>
      </c>
      <c r="H34">
        <f>'Scenario 2'!$O17</f>
        <v>2130</v>
      </c>
      <c r="I34">
        <f>'Scenario 3'!$O17</f>
        <v>2850</v>
      </c>
    </row>
    <row r="35" spans="2:9" ht="15">
      <c r="B35">
        <v>2660</v>
      </c>
      <c r="C35">
        <v>2660</v>
      </c>
      <c r="D35">
        <v>28</v>
      </c>
      <c r="G35">
        <f>'Scenario 1'!$O21</f>
        <v>30</v>
      </c>
      <c r="H35">
        <f>'Scenario 2'!$O21</f>
        <v>30</v>
      </c>
      <c r="I35">
        <f>'Scenario 3'!$O21</f>
        <v>30</v>
      </c>
    </row>
    <row r="37" spans="2:8" ht="15">
      <c r="B37" t="s">
        <v>152</v>
      </c>
      <c r="C37" t="s">
        <v>153</v>
      </c>
      <c r="F37" t="s">
        <v>154</v>
      </c>
      <c r="G37" t="s">
        <v>152</v>
      </c>
      <c r="H37" t="s">
        <v>153</v>
      </c>
    </row>
    <row r="38" spans="2:9" ht="15">
      <c r="B38" s="10">
        <v>70</v>
      </c>
      <c r="C38" s="28">
        <v>210</v>
      </c>
      <c r="D38">
        <f>C38/B38</f>
        <v>3</v>
      </c>
      <c r="F38">
        <f>G38+H38</f>
        <v>300</v>
      </c>
      <c r="G38" s="10">
        <f>G21/4</f>
        <v>75</v>
      </c>
      <c r="H38" s="28">
        <f>G38*3</f>
        <v>225</v>
      </c>
      <c r="I38">
        <f>H38/G38</f>
        <v>3</v>
      </c>
    </row>
    <row r="39" spans="2:9" ht="15">
      <c r="B39" s="10">
        <v>210</v>
      </c>
      <c r="C39" s="28">
        <v>840</v>
      </c>
      <c r="D39">
        <f>C39/B39</f>
        <v>4</v>
      </c>
      <c r="F39">
        <f>G39+H39</f>
        <v>1125</v>
      </c>
      <c r="G39" s="10">
        <f>(G22+G23)/5</f>
        <v>225</v>
      </c>
      <c r="H39" s="28">
        <f>G39*4</f>
        <v>900</v>
      </c>
      <c r="I39">
        <f>H39/G39</f>
        <v>4</v>
      </c>
    </row>
    <row r="40" spans="2:9" ht="15">
      <c r="B40" s="74">
        <v>280</v>
      </c>
      <c r="C40" s="74">
        <v>1050</v>
      </c>
      <c r="D40">
        <f>C40/B40</f>
        <v>3.75</v>
      </c>
      <c r="F40">
        <f>G40+H40</f>
        <v>1425</v>
      </c>
      <c r="G40" s="74">
        <f>G38+G39</f>
        <v>300</v>
      </c>
      <c r="H40" s="74">
        <f>H38+H39</f>
        <v>1125</v>
      </c>
      <c r="I40">
        <f>H40/G40</f>
        <v>3.75</v>
      </c>
    </row>
    <row r="41" ht="15">
      <c r="F41" t="s">
        <v>155</v>
      </c>
    </row>
    <row r="42" spans="2:11" ht="15">
      <c r="B42">
        <f>B38/B21</f>
        <v>0.25</v>
      </c>
      <c r="C42">
        <f>C38/B21</f>
        <v>0.75</v>
      </c>
      <c r="D42">
        <f>C42/B42</f>
        <v>3</v>
      </c>
      <c r="F42">
        <f>G42+H42</f>
        <v>450</v>
      </c>
      <c r="G42" s="10">
        <v>112</v>
      </c>
      <c r="H42" s="28">
        <f>H21-G42</f>
        <v>338</v>
      </c>
      <c r="I42">
        <f>H42/G42</f>
        <v>3.017857142857143</v>
      </c>
      <c r="K42">
        <f>H21/4</f>
        <v>112.5</v>
      </c>
    </row>
    <row r="43" spans="2:9" ht="15">
      <c r="B43">
        <f>B39/(B22+B23)</f>
        <v>0.2</v>
      </c>
      <c r="C43">
        <f>C39/(B22+B23)</f>
        <v>0.8</v>
      </c>
      <c r="D43">
        <f>C43/B43</f>
        <v>4</v>
      </c>
      <c r="F43">
        <f>G43+H43</f>
        <v>1680</v>
      </c>
      <c r="G43" s="10">
        <f>(H22+H23)/5</f>
        <v>336</v>
      </c>
      <c r="H43" s="28">
        <f>G43*4</f>
        <v>1344</v>
      </c>
      <c r="I43">
        <f>H43/G43</f>
        <v>4</v>
      </c>
    </row>
    <row r="44" spans="2:9" ht="15">
      <c r="B44">
        <f>B40/B25</f>
        <v>0.21052631578947367</v>
      </c>
      <c r="C44">
        <f>C40/B25</f>
        <v>0.7894736842105263</v>
      </c>
      <c r="D44">
        <f>C44/B44</f>
        <v>3.7500000000000004</v>
      </c>
      <c r="F44">
        <f>G44+H44</f>
        <v>2130</v>
      </c>
      <c r="G44" s="74">
        <f>G42+G43</f>
        <v>448</v>
      </c>
      <c r="H44" s="74">
        <f>H42+H43</f>
        <v>1682</v>
      </c>
      <c r="I44">
        <f>H44/G44</f>
        <v>3.7544642857142856</v>
      </c>
    </row>
    <row r="45" ht="15">
      <c r="F45" t="s">
        <v>156</v>
      </c>
    </row>
    <row r="46" spans="6:9" ht="15">
      <c r="F46">
        <f>G46+H46</f>
        <v>600</v>
      </c>
      <c r="G46" s="10">
        <f>I21/4</f>
        <v>150</v>
      </c>
      <c r="H46" s="28">
        <f>G46*3</f>
        <v>450</v>
      </c>
      <c r="I46">
        <f>H46/G46</f>
        <v>3</v>
      </c>
    </row>
    <row r="47" spans="6:9" ht="15">
      <c r="F47">
        <f>G47+H47</f>
        <v>2250</v>
      </c>
      <c r="G47" s="10">
        <f>(I22+I23)/5</f>
        <v>450</v>
      </c>
      <c r="H47" s="28">
        <f>G47*4</f>
        <v>1800</v>
      </c>
      <c r="I47">
        <f>H47/G47</f>
        <v>4</v>
      </c>
    </row>
    <row r="48" spans="6:9" ht="15">
      <c r="F48">
        <f>G48+H48</f>
        <v>2850</v>
      </c>
      <c r="G48" s="74">
        <f>G46+G47</f>
        <v>600</v>
      </c>
      <c r="H48" s="74">
        <f>H46+H47</f>
        <v>2250</v>
      </c>
      <c r="I48">
        <f>H48/G48</f>
        <v>3.75</v>
      </c>
    </row>
    <row r="49" ht="15.75" thickBot="1"/>
    <row r="50" spans="6:9" ht="15">
      <c r="F50" s="147"/>
      <c r="G50" s="148" t="s">
        <v>150</v>
      </c>
      <c r="H50" s="148" t="s">
        <v>151</v>
      </c>
      <c r="I50" s="149" t="s">
        <v>160</v>
      </c>
    </row>
    <row r="51" spans="6:9" ht="15">
      <c r="F51" s="150" t="s">
        <v>157</v>
      </c>
      <c r="G51" s="151">
        <v>133225000</v>
      </c>
      <c r="H51" s="151">
        <f>'Résume 1'!L40</f>
        <v>142037500</v>
      </c>
      <c r="I51" s="152">
        <f>H51-G51</f>
        <v>8812500</v>
      </c>
    </row>
    <row r="52" spans="6:9" ht="15">
      <c r="F52" s="150" t="s">
        <v>158</v>
      </c>
      <c r="G52" s="151">
        <v>176012500</v>
      </c>
      <c r="H52" s="151">
        <f>'Résume 2'!L40</f>
        <v>188050000</v>
      </c>
      <c r="I52" s="152">
        <f>H52-G52</f>
        <v>12037500</v>
      </c>
    </row>
    <row r="53" spans="6:9" ht="15.75" thickBot="1">
      <c r="F53" s="153" t="s">
        <v>159</v>
      </c>
      <c r="G53" s="154">
        <v>218800000</v>
      </c>
      <c r="H53" s="154">
        <f>'Résume 3'!L40</f>
        <v>234925000</v>
      </c>
      <c r="I53" s="155">
        <f>H53-G53</f>
        <v>16125000</v>
      </c>
    </row>
  </sheetData>
  <sheetProtection/>
  <mergeCells count="16">
    <mergeCell ref="A25:A26"/>
    <mergeCell ref="B25:B26"/>
    <mergeCell ref="C25:C26"/>
    <mergeCell ref="D25:D26"/>
    <mergeCell ref="A27:A28"/>
    <mergeCell ref="B27:B28"/>
    <mergeCell ref="C27:C28"/>
    <mergeCell ref="D27:D28"/>
    <mergeCell ref="F25:F26"/>
    <mergeCell ref="G25:G26"/>
    <mergeCell ref="H25:H26"/>
    <mergeCell ref="I25:I26"/>
    <mergeCell ref="F27:F28"/>
    <mergeCell ref="G27:G28"/>
    <mergeCell ref="H27:H28"/>
    <mergeCell ref="I27:I28"/>
  </mergeCells>
  <printOptions/>
  <pageMargins left="0.47" right="0.5" top="0.41" bottom="0.35" header="0.3" footer="0.3"/>
  <pageSetup fitToHeight="1"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2:W40"/>
  <sheetViews>
    <sheetView view="pageBreakPreview" zoomScale="130" zoomScaleSheetLayoutView="130" workbookViewId="0" topLeftCell="A2">
      <pane xSplit="2" ySplit="4" topLeftCell="N24" activePane="bottomRight" state="frozen"/>
      <selection pane="topLeft" activeCell="C45" sqref="C45"/>
      <selection pane="topRight" activeCell="C45" sqref="C45"/>
      <selection pane="bottomLeft" activeCell="C45" sqref="C45"/>
      <selection pane="bottomRight" activeCell="B42" sqref="B42"/>
    </sheetView>
  </sheetViews>
  <sheetFormatPr defaultColWidth="9.140625" defaultRowHeight="15"/>
  <cols>
    <col min="1" max="1" width="5.140625" style="8" customWidth="1"/>
    <col min="2" max="2" width="41.8515625" style="0" customWidth="1"/>
    <col min="3" max="3" width="33.7109375" style="0" customWidth="1"/>
    <col min="4" max="4" width="11.7109375" style="0" customWidth="1"/>
    <col min="5" max="5" width="7.140625" style="2" hidden="1" customWidth="1"/>
    <col min="6" max="6" width="11.00390625" style="0" hidden="1" customWidth="1"/>
    <col min="7" max="7" width="11.8515625" style="0" bestFit="1" customWidth="1"/>
    <col min="8" max="8" width="12.421875" style="0" customWidth="1"/>
    <col min="9" max="9" width="12.00390625" style="0" customWidth="1"/>
    <col min="10" max="10" width="7.140625" style="2" hidden="1" customWidth="1"/>
    <col min="11" max="11" width="10.28125" style="0" hidden="1" customWidth="1"/>
    <col min="12" max="12" width="12.28125" style="0" bestFit="1" customWidth="1"/>
    <col min="13" max="13" width="12.421875" style="0" customWidth="1"/>
    <col min="14" max="14" width="14.00390625" style="90" customWidth="1"/>
  </cols>
  <sheetData>
    <row r="1" ht="6.75" customHeight="1" hidden="1" thickBot="1"/>
    <row r="2" spans="1:14" ht="15.75" customHeight="1" thickBot="1">
      <c r="A2" s="209" t="s">
        <v>58</v>
      </c>
      <c r="B2" s="215" t="s">
        <v>52</v>
      </c>
      <c r="C2" s="215" t="s">
        <v>51</v>
      </c>
      <c r="D2" s="212" t="s">
        <v>98</v>
      </c>
      <c r="E2" s="212"/>
      <c r="F2" s="212"/>
      <c r="G2" s="212"/>
      <c r="H2" s="213"/>
      <c r="I2" s="214" t="s">
        <v>99</v>
      </c>
      <c r="J2" s="212"/>
      <c r="K2" s="212"/>
      <c r="L2" s="212"/>
      <c r="M2" s="213"/>
      <c r="N2" s="196" t="s">
        <v>57</v>
      </c>
    </row>
    <row r="3" spans="1:14" ht="15" customHeight="1">
      <c r="A3" s="210"/>
      <c r="B3" s="216"/>
      <c r="C3" s="216"/>
      <c r="D3" s="194" t="s">
        <v>50</v>
      </c>
      <c r="E3" s="201" t="s">
        <v>50</v>
      </c>
      <c r="F3" s="201" t="s">
        <v>50</v>
      </c>
      <c r="G3" s="194" t="s">
        <v>53</v>
      </c>
      <c r="H3" s="199" t="s">
        <v>91</v>
      </c>
      <c r="I3" s="194" t="s">
        <v>112</v>
      </c>
      <c r="J3" s="194" t="s">
        <v>53</v>
      </c>
      <c r="K3" s="194" t="s">
        <v>53</v>
      </c>
      <c r="L3" s="194" t="s">
        <v>53</v>
      </c>
      <c r="M3" s="199" t="s">
        <v>90</v>
      </c>
      <c r="N3" s="197"/>
    </row>
    <row r="4" spans="1:14" ht="15" customHeight="1" thickBot="1">
      <c r="A4" s="211"/>
      <c r="B4" s="217"/>
      <c r="C4" s="217"/>
      <c r="D4" s="195"/>
      <c r="E4" s="202"/>
      <c r="F4" s="202"/>
      <c r="G4" s="195"/>
      <c r="H4" s="200"/>
      <c r="I4" s="195"/>
      <c r="J4" s="195"/>
      <c r="K4" s="195"/>
      <c r="L4" s="195"/>
      <c r="M4" s="200"/>
      <c r="N4" s="198"/>
    </row>
    <row r="5" spans="1:14" ht="23.25" customHeight="1" thickBot="1">
      <c r="A5" s="206" t="s">
        <v>59</v>
      </c>
      <c r="B5" s="207"/>
      <c r="C5" s="207"/>
      <c r="D5" s="207"/>
      <c r="E5" s="207"/>
      <c r="F5" s="207"/>
      <c r="G5" s="207"/>
      <c r="H5" s="207"/>
      <c r="I5" s="207"/>
      <c r="J5" s="207"/>
      <c r="K5" s="207"/>
      <c r="L5" s="207"/>
      <c r="M5" s="207"/>
      <c r="N5" s="208"/>
    </row>
    <row r="6" spans="1:20" ht="25.5">
      <c r="A6" s="97" t="s">
        <v>4</v>
      </c>
      <c r="B6" s="50" t="s">
        <v>135</v>
      </c>
      <c r="C6" s="98" t="s">
        <v>85</v>
      </c>
      <c r="D6" s="99">
        <v>0</v>
      </c>
      <c r="E6" s="99">
        <v>20</v>
      </c>
      <c r="F6" s="99">
        <v>50000</v>
      </c>
      <c r="G6" s="99">
        <f aca="true" t="shared" si="0" ref="G6:G16">E6*F6</f>
        <v>1000000</v>
      </c>
      <c r="H6" s="78">
        <f aca="true" t="shared" si="1" ref="H6:H16">SUM(D6,G6)</f>
        <v>1000000</v>
      </c>
      <c r="I6" s="52">
        <v>0</v>
      </c>
      <c r="J6" s="52">
        <v>20</v>
      </c>
      <c r="K6" s="52">
        <v>50000</v>
      </c>
      <c r="L6" s="52">
        <f aca="true" t="shared" si="2" ref="L6:L16">J6*K6</f>
        <v>1000000</v>
      </c>
      <c r="M6" s="78">
        <f aca="true" t="shared" si="3" ref="M6:M16">SUM(I6,L6)</f>
        <v>1000000</v>
      </c>
      <c r="N6" s="91">
        <f aca="true" t="shared" si="4" ref="N6:N16">SUM(M6,H6)</f>
        <v>2000000</v>
      </c>
      <c r="T6">
        <f>T23</f>
        <v>1330</v>
      </c>
    </row>
    <row r="7" spans="1:20" ht="25.5">
      <c r="A7" s="100" t="s">
        <v>5</v>
      </c>
      <c r="B7" s="50" t="s">
        <v>114</v>
      </c>
      <c r="C7" s="98" t="s">
        <v>131</v>
      </c>
      <c r="D7" s="99">
        <v>0</v>
      </c>
      <c r="E7" s="99">
        <f>Q7</f>
        <v>70</v>
      </c>
      <c r="F7" s="99">
        <v>80000</v>
      </c>
      <c r="G7" s="99">
        <f t="shared" si="0"/>
        <v>5600000</v>
      </c>
      <c r="H7" s="78">
        <f t="shared" si="1"/>
        <v>5600000</v>
      </c>
      <c r="I7" s="52">
        <v>0</v>
      </c>
      <c r="J7" s="52">
        <f>R7</f>
        <v>210</v>
      </c>
      <c r="K7" s="52">
        <v>80000</v>
      </c>
      <c r="L7" s="52">
        <f t="shared" si="2"/>
        <v>16800000</v>
      </c>
      <c r="M7" s="79">
        <f t="shared" si="3"/>
        <v>16800000</v>
      </c>
      <c r="N7" s="92">
        <f t="shared" si="4"/>
        <v>22400000</v>
      </c>
      <c r="P7">
        <f>SUM(E7:E8,J7:J8)</f>
        <v>1330</v>
      </c>
      <c r="Q7">
        <v>70</v>
      </c>
      <c r="R7">
        <v>210</v>
      </c>
      <c r="S7">
        <f>SUM(E7:E8,J7:J8,E16,J16,E19,J19,E27,J27,E33,J33)-SUM(Q7:R33)</f>
        <v>0</v>
      </c>
      <c r="T7">
        <f>Q7+R7</f>
        <v>280</v>
      </c>
    </row>
    <row r="8" spans="1:20" ht="25.5">
      <c r="A8" s="100" t="s">
        <v>6</v>
      </c>
      <c r="B8" s="50" t="s">
        <v>133</v>
      </c>
      <c r="C8" s="98" t="s">
        <v>131</v>
      </c>
      <c r="D8" s="99">
        <v>0</v>
      </c>
      <c r="E8" s="99">
        <f>Q8</f>
        <v>210</v>
      </c>
      <c r="F8" s="99">
        <v>47500</v>
      </c>
      <c r="G8" s="99">
        <f t="shared" si="0"/>
        <v>9975000</v>
      </c>
      <c r="H8" s="78">
        <f t="shared" si="1"/>
        <v>9975000</v>
      </c>
      <c r="I8" s="52">
        <v>0</v>
      </c>
      <c r="J8" s="52">
        <f>R8</f>
        <v>840</v>
      </c>
      <c r="K8" s="52">
        <v>47500</v>
      </c>
      <c r="L8" s="52">
        <f t="shared" si="2"/>
        <v>39900000</v>
      </c>
      <c r="M8" s="79">
        <f t="shared" si="3"/>
        <v>39900000</v>
      </c>
      <c r="N8" s="92">
        <f t="shared" si="4"/>
        <v>49875000</v>
      </c>
      <c r="P8">
        <f>E7+J7</f>
        <v>280</v>
      </c>
      <c r="Q8">
        <v>210</v>
      </c>
      <c r="R8">
        <v>840</v>
      </c>
      <c r="T8">
        <f>(Q8+R8)/2</f>
        <v>525</v>
      </c>
    </row>
    <row r="9" spans="1:20" ht="25.5">
      <c r="A9" s="100" t="s">
        <v>7</v>
      </c>
      <c r="B9" s="50" t="s">
        <v>136</v>
      </c>
      <c r="C9" s="56" t="s">
        <v>87</v>
      </c>
      <c r="D9" s="99">
        <v>0</v>
      </c>
      <c r="E9" s="99">
        <v>0</v>
      </c>
      <c r="F9" s="99">
        <v>0</v>
      </c>
      <c r="G9" s="99">
        <f t="shared" si="0"/>
        <v>0</v>
      </c>
      <c r="H9" s="78">
        <f t="shared" si="1"/>
        <v>0</v>
      </c>
      <c r="I9" s="52">
        <v>0</v>
      </c>
      <c r="J9" s="52">
        <v>0</v>
      </c>
      <c r="K9" s="52">
        <v>0</v>
      </c>
      <c r="L9" s="52">
        <f t="shared" si="2"/>
        <v>0</v>
      </c>
      <c r="M9" s="79">
        <f t="shared" si="3"/>
        <v>0</v>
      </c>
      <c r="N9" s="92">
        <f t="shared" si="4"/>
        <v>0</v>
      </c>
      <c r="P9">
        <f>(E8+J8)/2</f>
        <v>525</v>
      </c>
      <c r="T9">
        <f>T8</f>
        <v>525</v>
      </c>
    </row>
    <row r="10" spans="1:20" ht="25.5">
      <c r="A10" s="100" t="s">
        <v>8</v>
      </c>
      <c r="B10" s="50" t="s">
        <v>117</v>
      </c>
      <c r="C10" s="98" t="s">
        <v>85</v>
      </c>
      <c r="D10" s="99">
        <v>1400000</v>
      </c>
      <c r="E10" s="99">
        <v>0</v>
      </c>
      <c r="F10" s="99">
        <v>0</v>
      </c>
      <c r="G10" s="99">
        <f t="shared" si="0"/>
        <v>0</v>
      </c>
      <c r="H10" s="79">
        <f t="shared" si="1"/>
        <v>1400000</v>
      </c>
      <c r="I10" s="52">
        <v>0</v>
      </c>
      <c r="J10" s="52">
        <v>0</v>
      </c>
      <c r="K10" s="52">
        <v>0</v>
      </c>
      <c r="L10" s="52">
        <f t="shared" si="2"/>
        <v>0</v>
      </c>
      <c r="M10" s="79">
        <f t="shared" si="3"/>
        <v>0</v>
      </c>
      <c r="N10" s="92">
        <f t="shared" si="4"/>
        <v>1400000</v>
      </c>
      <c r="P10">
        <f>SUM(P8:P23)</f>
        <v>1330</v>
      </c>
      <c r="T10">
        <f>T23*2</f>
        <v>2660</v>
      </c>
    </row>
    <row r="11" spans="1:20" ht="25.5">
      <c r="A11" s="100" t="s">
        <v>9</v>
      </c>
      <c r="B11" s="50" t="s">
        <v>137</v>
      </c>
      <c r="C11" s="98" t="s">
        <v>131</v>
      </c>
      <c r="D11" s="99">
        <v>300000</v>
      </c>
      <c r="E11" s="99">
        <v>0</v>
      </c>
      <c r="F11" s="99">
        <v>0</v>
      </c>
      <c r="G11" s="99">
        <f t="shared" si="0"/>
        <v>0</v>
      </c>
      <c r="H11" s="78">
        <f t="shared" si="1"/>
        <v>300000</v>
      </c>
      <c r="I11" s="52">
        <v>0</v>
      </c>
      <c r="J11" s="52">
        <v>0</v>
      </c>
      <c r="K11" s="52">
        <v>0</v>
      </c>
      <c r="L11" s="52">
        <f t="shared" si="2"/>
        <v>0</v>
      </c>
      <c r="M11" s="79">
        <f t="shared" si="3"/>
        <v>0</v>
      </c>
      <c r="N11" s="92">
        <f t="shared" si="4"/>
        <v>300000</v>
      </c>
      <c r="P11">
        <f>SUM(P10,P7)</f>
        <v>2660</v>
      </c>
      <c r="T11">
        <f>14*2</f>
        <v>28</v>
      </c>
    </row>
    <row r="12" spans="1:14" ht="38.25">
      <c r="A12" s="100" t="s">
        <v>10</v>
      </c>
      <c r="B12" s="50" t="s">
        <v>138</v>
      </c>
      <c r="C12" s="98" t="s">
        <v>134</v>
      </c>
      <c r="D12" s="99">
        <v>700000</v>
      </c>
      <c r="E12" s="99">
        <v>0</v>
      </c>
      <c r="F12" s="99">
        <v>0</v>
      </c>
      <c r="G12" s="99">
        <f t="shared" si="0"/>
        <v>0</v>
      </c>
      <c r="H12" s="79">
        <f t="shared" si="1"/>
        <v>700000</v>
      </c>
      <c r="I12" s="52">
        <v>350000</v>
      </c>
      <c r="J12" s="52">
        <v>0</v>
      </c>
      <c r="K12" s="52">
        <v>0</v>
      </c>
      <c r="L12" s="52">
        <f t="shared" si="2"/>
        <v>0</v>
      </c>
      <c r="M12" s="79">
        <f t="shared" si="3"/>
        <v>350000</v>
      </c>
      <c r="N12" s="92">
        <f t="shared" si="4"/>
        <v>1050000</v>
      </c>
    </row>
    <row r="13" spans="1:14" ht="25.5">
      <c r="A13" s="100" t="s">
        <v>11</v>
      </c>
      <c r="B13" s="50" t="s">
        <v>139</v>
      </c>
      <c r="C13" s="56" t="s">
        <v>81</v>
      </c>
      <c r="D13" s="99">
        <v>0</v>
      </c>
      <c r="E13" s="99">
        <v>0</v>
      </c>
      <c r="F13" s="99">
        <v>0</v>
      </c>
      <c r="G13" s="99">
        <f>E13*F13</f>
        <v>0</v>
      </c>
      <c r="H13" s="79">
        <f>SUM(D13,G13)</f>
        <v>0</v>
      </c>
      <c r="I13" s="52">
        <v>0</v>
      </c>
      <c r="J13" s="52">
        <v>0</v>
      </c>
      <c r="K13" s="52">
        <v>0</v>
      </c>
      <c r="L13" s="52">
        <f>J13*K13</f>
        <v>0</v>
      </c>
      <c r="M13" s="79">
        <f>SUM(I13,L13)</f>
        <v>0</v>
      </c>
      <c r="N13" s="92">
        <f>SUM(M13,H13)</f>
        <v>0</v>
      </c>
    </row>
    <row r="14" spans="1:14" ht="25.5">
      <c r="A14" s="100" t="s">
        <v>12</v>
      </c>
      <c r="B14" s="50" t="s">
        <v>140</v>
      </c>
      <c r="C14" s="98" t="s">
        <v>130</v>
      </c>
      <c r="D14" s="99">
        <v>400000</v>
      </c>
      <c r="E14" s="99">
        <v>0</v>
      </c>
      <c r="F14" s="99">
        <v>0</v>
      </c>
      <c r="G14" s="99">
        <f>E14*F14</f>
        <v>0</v>
      </c>
      <c r="H14" s="79">
        <f>SUM(D14,G14)</f>
        <v>400000</v>
      </c>
      <c r="I14" s="52">
        <v>0</v>
      </c>
      <c r="J14" s="52">
        <v>0</v>
      </c>
      <c r="K14" s="52">
        <v>0</v>
      </c>
      <c r="L14" s="52">
        <f>J14*K14</f>
        <v>0</v>
      </c>
      <c r="M14" s="79">
        <f>SUM(I14,L14)</f>
        <v>0</v>
      </c>
      <c r="N14" s="92">
        <f>SUM(M14,H14)</f>
        <v>400000</v>
      </c>
    </row>
    <row r="15" spans="1:14" ht="25.5">
      <c r="A15" s="100" t="s">
        <v>13</v>
      </c>
      <c r="B15" s="50" t="s">
        <v>141</v>
      </c>
      <c r="C15" s="98" t="s">
        <v>142</v>
      </c>
      <c r="D15" s="99">
        <v>1400000</v>
      </c>
      <c r="E15" s="99">
        <v>0</v>
      </c>
      <c r="F15" s="99">
        <v>0</v>
      </c>
      <c r="G15" s="99">
        <f t="shared" si="0"/>
        <v>0</v>
      </c>
      <c r="H15" s="79">
        <f t="shared" si="1"/>
        <v>1400000</v>
      </c>
      <c r="I15" s="52">
        <v>0</v>
      </c>
      <c r="J15" s="52">
        <v>0</v>
      </c>
      <c r="K15" s="52">
        <v>0</v>
      </c>
      <c r="L15" s="52">
        <f t="shared" si="2"/>
        <v>0</v>
      </c>
      <c r="M15" s="79">
        <f t="shared" si="3"/>
        <v>0</v>
      </c>
      <c r="N15" s="92">
        <f t="shared" si="4"/>
        <v>1400000</v>
      </c>
    </row>
    <row r="16" spans="1:18" ht="26.25" thickBot="1">
      <c r="A16" s="100" t="s">
        <v>14</v>
      </c>
      <c r="B16" s="71" t="s">
        <v>129</v>
      </c>
      <c r="C16" s="98" t="s">
        <v>142</v>
      </c>
      <c r="D16" s="99">
        <v>0</v>
      </c>
      <c r="E16" s="99">
        <f>Q16</f>
        <v>280</v>
      </c>
      <c r="F16" s="99">
        <v>10000</v>
      </c>
      <c r="G16" s="99">
        <f t="shared" si="0"/>
        <v>2800000</v>
      </c>
      <c r="H16" s="80">
        <f t="shared" si="1"/>
        <v>2800000</v>
      </c>
      <c r="I16" s="52">
        <v>0</v>
      </c>
      <c r="J16" s="52">
        <f>R16</f>
        <v>1050</v>
      </c>
      <c r="K16" s="52">
        <v>10000</v>
      </c>
      <c r="L16" s="52">
        <f t="shared" si="2"/>
        <v>10500000</v>
      </c>
      <c r="M16" s="80">
        <f t="shared" si="3"/>
        <v>10500000</v>
      </c>
      <c r="N16" s="93">
        <f t="shared" si="4"/>
        <v>13300000</v>
      </c>
      <c r="Q16">
        <v>280</v>
      </c>
      <c r="R16">
        <v>1050</v>
      </c>
    </row>
    <row r="17" spans="1:14" ht="18.75" customHeight="1" thickBot="1">
      <c r="A17" s="101"/>
      <c r="B17" s="81" t="s">
        <v>92</v>
      </c>
      <c r="C17" s="82"/>
      <c r="D17" s="82">
        <f>SUM(D6:D16)</f>
        <v>4200000</v>
      </c>
      <c r="E17" s="83">
        <f>SUM(E6:E16)</f>
        <v>580</v>
      </c>
      <c r="F17" s="84"/>
      <c r="G17" s="82">
        <f>SUM(G6:G16)</f>
        <v>19375000</v>
      </c>
      <c r="H17" s="82">
        <f>SUM(H6:H16)</f>
        <v>23575000</v>
      </c>
      <c r="I17" s="82">
        <f>SUM(I6:I16)</f>
        <v>350000</v>
      </c>
      <c r="J17" s="83">
        <f>SUM(J6:J16)</f>
        <v>2120</v>
      </c>
      <c r="K17" s="84"/>
      <c r="L17" s="82">
        <f>SUM(L6:L16)</f>
        <v>68200000</v>
      </c>
      <c r="M17" s="82">
        <f>SUM(M6:M16)</f>
        <v>68550000</v>
      </c>
      <c r="N17" s="82">
        <f>SUM(N6:N16)</f>
        <v>92125000</v>
      </c>
    </row>
    <row r="18" spans="1:14" s="90" customFormat="1" ht="30.75" customHeight="1" thickBot="1">
      <c r="A18" s="206" t="s">
        <v>60</v>
      </c>
      <c r="B18" s="207"/>
      <c r="C18" s="207"/>
      <c r="D18" s="207"/>
      <c r="E18" s="207"/>
      <c r="F18" s="207"/>
      <c r="G18" s="207"/>
      <c r="H18" s="207"/>
      <c r="I18" s="207"/>
      <c r="J18" s="207"/>
      <c r="K18" s="207"/>
      <c r="L18" s="207"/>
      <c r="M18" s="207"/>
      <c r="N18" s="208"/>
    </row>
    <row r="19" spans="1:23" ht="38.25">
      <c r="A19" s="102" t="s">
        <v>15</v>
      </c>
      <c r="B19" s="50" t="s">
        <v>143</v>
      </c>
      <c r="C19" s="98" t="s">
        <v>142</v>
      </c>
      <c r="D19" s="99">
        <v>0</v>
      </c>
      <c r="E19" s="99">
        <f>Q19</f>
        <v>14</v>
      </c>
      <c r="F19" s="99">
        <v>500000</v>
      </c>
      <c r="G19" s="99">
        <f aca="true" t="shared" si="5" ref="G19:G29">E19*F19</f>
        <v>7000000</v>
      </c>
      <c r="H19" s="79">
        <f aca="true" t="shared" si="6" ref="H19:H29">SUM(D19,G19)</f>
        <v>7000000</v>
      </c>
      <c r="I19" s="52">
        <v>0</v>
      </c>
      <c r="J19" s="52">
        <f>R19</f>
        <v>14</v>
      </c>
      <c r="K19" s="52">
        <v>500000</v>
      </c>
      <c r="L19" s="52">
        <f aca="true" t="shared" si="7" ref="L19:L29">J19*K19</f>
        <v>7000000</v>
      </c>
      <c r="M19" s="79">
        <f aca="true" t="shared" si="8" ref="M19:M29">SUM(I19,L19)</f>
        <v>7000000</v>
      </c>
      <c r="N19" s="92">
        <f aca="true" t="shared" si="9" ref="N19:N29">SUM(M19,H19)</f>
        <v>14000000</v>
      </c>
      <c r="Q19">
        <v>14</v>
      </c>
      <c r="R19">
        <v>14</v>
      </c>
      <c r="W19">
        <f>D19/1000</f>
        <v>0</v>
      </c>
    </row>
    <row r="20" spans="1:14" ht="25.5">
      <c r="A20" s="102" t="s">
        <v>16</v>
      </c>
      <c r="B20" s="50" t="s">
        <v>46</v>
      </c>
      <c r="C20" s="56" t="s">
        <v>79</v>
      </c>
      <c r="D20" s="99">
        <v>0</v>
      </c>
      <c r="E20" s="99">
        <v>0</v>
      </c>
      <c r="F20" s="99">
        <v>0</v>
      </c>
      <c r="G20" s="99">
        <f t="shared" si="5"/>
        <v>0</v>
      </c>
      <c r="H20" s="78">
        <f t="shared" si="6"/>
        <v>0</v>
      </c>
      <c r="I20" s="52">
        <v>0</v>
      </c>
      <c r="J20" s="52">
        <v>0</v>
      </c>
      <c r="K20" s="52">
        <v>0</v>
      </c>
      <c r="L20" s="52">
        <f t="shared" si="7"/>
        <v>0</v>
      </c>
      <c r="M20" s="78">
        <f t="shared" si="8"/>
        <v>0</v>
      </c>
      <c r="N20" s="91">
        <f t="shared" si="9"/>
        <v>0</v>
      </c>
    </row>
    <row r="21" spans="1:14" ht="27" customHeight="1">
      <c r="A21" s="102" t="s">
        <v>17</v>
      </c>
      <c r="B21" s="50" t="s">
        <v>132</v>
      </c>
      <c r="C21" s="56" t="s">
        <v>79</v>
      </c>
      <c r="D21" s="99">
        <v>0</v>
      </c>
      <c r="E21" s="99">
        <v>0</v>
      </c>
      <c r="F21" s="99">
        <v>0</v>
      </c>
      <c r="G21" s="99">
        <f t="shared" si="5"/>
        <v>0</v>
      </c>
      <c r="H21" s="78">
        <f t="shared" si="6"/>
        <v>0</v>
      </c>
      <c r="I21" s="52">
        <v>0</v>
      </c>
      <c r="J21" s="52">
        <v>0</v>
      </c>
      <c r="K21" s="52">
        <v>0</v>
      </c>
      <c r="L21" s="52">
        <f t="shared" si="7"/>
        <v>0</v>
      </c>
      <c r="M21" s="79">
        <f t="shared" si="8"/>
        <v>0</v>
      </c>
      <c r="N21" s="92">
        <f t="shared" si="9"/>
        <v>0</v>
      </c>
    </row>
    <row r="22" spans="1:14" ht="25.5">
      <c r="A22" s="102" t="s">
        <v>18</v>
      </c>
      <c r="B22" s="50" t="s">
        <v>47</v>
      </c>
      <c r="C22" s="56" t="s">
        <v>79</v>
      </c>
      <c r="D22" s="99">
        <v>0</v>
      </c>
      <c r="E22" s="99">
        <v>0</v>
      </c>
      <c r="F22" s="99">
        <v>0</v>
      </c>
      <c r="G22" s="99">
        <f>E22*F22</f>
        <v>0</v>
      </c>
      <c r="H22" s="78">
        <f>SUM(D22,G22)</f>
        <v>0</v>
      </c>
      <c r="I22" s="52">
        <v>0</v>
      </c>
      <c r="J22" s="52">
        <v>0</v>
      </c>
      <c r="K22" s="52">
        <v>0</v>
      </c>
      <c r="L22" s="52">
        <f t="shared" si="7"/>
        <v>0</v>
      </c>
      <c r="M22" s="79">
        <f t="shared" si="8"/>
        <v>0</v>
      </c>
      <c r="N22" s="92">
        <f t="shared" si="9"/>
        <v>0</v>
      </c>
    </row>
    <row r="23" spans="1:20" ht="38.25">
      <c r="A23" s="102" t="s">
        <v>19</v>
      </c>
      <c r="B23" s="50" t="s">
        <v>144</v>
      </c>
      <c r="C23" s="98" t="s">
        <v>145</v>
      </c>
      <c r="D23" s="99">
        <v>600000</v>
      </c>
      <c r="E23" s="99">
        <v>0</v>
      </c>
      <c r="F23" s="99">
        <v>0</v>
      </c>
      <c r="G23" s="99">
        <f>E23*F23</f>
        <v>0</v>
      </c>
      <c r="H23" s="78">
        <f>SUM(D23,G23)</f>
        <v>600000</v>
      </c>
      <c r="I23" s="52">
        <v>300000</v>
      </c>
      <c r="J23" s="52">
        <v>0</v>
      </c>
      <c r="K23" s="52">
        <v>0</v>
      </c>
      <c r="L23" s="52">
        <f>J23*K23</f>
        <v>0</v>
      </c>
      <c r="M23" s="79">
        <f>SUM(I23,L23)</f>
        <v>300000</v>
      </c>
      <c r="N23" s="92">
        <f>SUM(M23,H23)</f>
        <v>900000</v>
      </c>
      <c r="P23">
        <f>(E8+J8)/2</f>
        <v>525</v>
      </c>
      <c r="T23">
        <f>T8*2+T7</f>
        <v>1330</v>
      </c>
    </row>
    <row r="24" spans="1:14" ht="25.5">
      <c r="A24" s="102" t="s">
        <v>20</v>
      </c>
      <c r="B24" s="50" t="s">
        <v>48</v>
      </c>
      <c r="C24" s="98" t="s">
        <v>145</v>
      </c>
      <c r="D24" s="99">
        <v>700000</v>
      </c>
      <c r="E24" s="99"/>
      <c r="F24" s="99">
        <v>0</v>
      </c>
      <c r="G24" s="99">
        <f t="shared" si="5"/>
        <v>0</v>
      </c>
      <c r="H24" s="78">
        <f t="shared" si="6"/>
        <v>700000</v>
      </c>
      <c r="I24" s="52">
        <v>700000</v>
      </c>
      <c r="J24" s="52">
        <v>0</v>
      </c>
      <c r="K24" s="52">
        <v>0</v>
      </c>
      <c r="L24" s="52">
        <f t="shared" si="7"/>
        <v>0</v>
      </c>
      <c r="M24" s="79">
        <f t="shared" si="8"/>
        <v>700000</v>
      </c>
      <c r="N24" s="92">
        <f t="shared" si="9"/>
        <v>1400000</v>
      </c>
    </row>
    <row r="25" spans="1:14" ht="25.5">
      <c r="A25" s="102" t="s">
        <v>21</v>
      </c>
      <c r="B25" s="50" t="s">
        <v>147</v>
      </c>
      <c r="C25" s="98" t="s">
        <v>145</v>
      </c>
      <c r="D25" s="99">
        <v>700000</v>
      </c>
      <c r="E25" s="99">
        <v>0</v>
      </c>
      <c r="F25" s="99">
        <v>0</v>
      </c>
      <c r="G25" s="99">
        <f t="shared" si="5"/>
        <v>0</v>
      </c>
      <c r="H25" s="79">
        <f t="shared" si="6"/>
        <v>700000</v>
      </c>
      <c r="I25" s="52">
        <v>700000</v>
      </c>
      <c r="J25" s="52">
        <v>0</v>
      </c>
      <c r="K25" s="52">
        <v>0</v>
      </c>
      <c r="L25" s="52">
        <f t="shared" si="7"/>
        <v>0</v>
      </c>
      <c r="M25" s="79">
        <f t="shared" si="8"/>
        <v>700000</v>
      </c>
      <c r="N25" s="92">
        <f t="shared" si="9"/>
        <v>1400000</v>
      </c>
    </row>
    <row r="26" spans="1:14" ht="25.5">
      <c r="A26" s="102" t="s">
        <v>22</v>
      </c>
      <c r="B26" s="50" t="s">
        <v>146</v>
      </c>
      <c r="C26" s="98" t="s">
        <v>131</v>
      </c>
      <c r="D26" s="99">
        <f>1500000/8*14</f>
        <v>2625000</v>
      </c>
      <c r="E26" s="99">
        <v>0</v>
      </c>
      <c r="F26" s="99">
        <v>0</v>
      </c>
      <c r="G26" s="99">
        <f>E26*F26</f>
        <v>0</v>
      </c>
      <c r="H26" s="79">
        <f>SUM(D26,G26)</f>
        <v>2625000</v>
      </c>
      <c r="I26" s="52">
        <f>D26/3</f>
        <v>875000</v>
      </c>
      <c r="J26" s="52">
        <v>0</v>
      </c>
      <c r="K26" s="52">
        <v>0</v>
      </c>
      <c r="L26" s="52">
        <f>J26*K26</f>
        <v>0</v>
      </c>
      <c r="M26" s="79">
        <f>SUM(I26,L26)</f>
        <v>875000</v>
      </c>
      <c r="N26" s="92">
        <f>SUM(M26,H26)</f>
        <v>3500000</v>
      </c>
    </row>
    <row r="27" spans="1:18" ht="25.5">
      <c r="A27" s="102" t="s">
        <v>23</v>
      </c>
      <c r="B27" s="50" t="s">
        <v>127</v>
      </c>
      <c r="C27" s="98" t="s">
        <v>130</v>
      </c>
      <c r="D27" s="99">
        <v>0</v>
      </c>
      <c r="E27" s="99">
        <f>Q27</f>
        <v>14</v>
      </c>
      <c r="F27" s="99">
        <v>150000</v>
      </c>
      <c r="G27" s="99">
        <f>E27*F27</f>
        <v>2100000</v>
      </c>
      <c r="H27" s="79">
        <f>SUM(D27,G27)</f>
        <v>2100000</v>
      </c>
      <c r="I27" s="52">
        <v>0</v>
      </c>
      <c r="J27" s="52">
        <f>R27</f>
        <v>14</v>
      </c>
      <c r="K27" s="52">
        <v>150000</v>
      </c>
      <c r="L27" s="52">
        <f>J27*K27</f>
        <v>2100000</v>
      </c>
      <c r="M27" s="79">
        <f>SUM(I27,L27)</f>
        <v>2100000</v>
      </c>
      <c r="N27" s="92">
        <f>SUM(M27,H27)</f>
        <v>4200000</v>
      </c>
      <c r="Q27">
        <v>14</v>
      </c>
      <c r="R27">
        <v>14</v>
      </c>
    </row>
    <row r="28" spans="1:14" ht="38.25">
      <c r="A28" s="102" t="s">
        <v>101</v>
      </c>
      <c r="B28" s="50" t="s">
        <v>82</v>
      </c>
      <c r="C28" s="98" t="s">
        <v>142</v>
      </c>
      <c r="D28" s="99">
        <v>0</v>
      </c>
      <c r="E28" s="99">
        <v>36</v>
      </c>
      <c r="F28" s="99">
        <v>25000</v>
      </c>
      <c r="G28" s="99">
        <f t="shared" si="5"/>
        <v>900000</v>
      </c>
      <c r="H28" s="79">
        <f t="shared" si="6"/>
        <v>900000</v>
      </c>
      <c r="I28" s="52">
        <v>0</v>
      </c>
      <c r="J28" s="52">
        <v>72</v>
      </c>
      <c r="K28" s="52">
        <v>25000</v>
      </c>
      <c r="L28" s="52">
        <f t="shared" si="7"/>
        <v>1800000</v>
      </c>
      <c r="M28" s="79">
        <f t="shared" si="8"/>
        <v>1800000</v>
      </c>
      <c r="N28" s="92">
        <f t="shared" si="9"/>
        <v>2700000</v>
      </c>
    </row>
    <row r="29" spans="1:14" ht="26.25" thickBot="1">
      <c r="A29" s="102" t="s">
        <v>128</v>
      </c>
      <c r="B29" s="50" t="s">
        <v>49</v>
      </c>
      <c r="C29" s="98" t="s">
        <v>142</v>
      </c>
      <c r="D29" s="99">
        <v>1400000</v>
      </c>
      <c r="E29" s="99">
        <v>0</v>
      </c>
      <c r="F29" s="99">
        <v>0</v>
      </c>
      <c r="G29" s="99">
        <f t="shared" si="5"/>
        <v>0</v>
      </c>
      <c r="H29" s="79">
        <f t="shared" si="6"/>
        <v>1400000</v>
      </c>
      <c r="I29" s="52">
        <v>2800000</v>
      </c>
      <c r="J29" s="52">
        <v>0</v>
      </c>
      <c r="K29" s="52">
        <v>0</v>
      </c>
      <c r="L29" s="52">
        <f t="shared" si="7"/>
        <v>0</v>
      </c>
      <c r="M29" s="79">
        <f t="shared" si="8"/>
        <v>2800000</v>
      </c>
      <c r="N29" s="92">
        <f t="shared" si="9"/>
        <v>4200000</v>
      </c>
    </row>
    <row r="30" spans="1:14" ht="18.75" customHeight="1" thickBot="1">
      <c r="A30" s="101"/>
      <c r="B30" s="81" t="s">
        <v>93</v>
      </c>
      <c r="C30" s="82"/>
      <c r="D30" s="82">
        <f>SUM(D19:D29)</f>
        <v>6025000</v>
      </c>
      <c r="E30" s="83">
        <f>SUM(E19:E29)</f>
        <v>64</v>
      </c>
      <c r="F30" s="84"/>
      <c r="G30" s="82">
        <f>SUM(G19:G29)</f>
        <v>10000000</v>
      </c>
      <c r="H30" s="82">
        <f>SUM(H19:H29)</f>
        <v>16025000</v>
      </c>
      <c r="I30" s="82">
        <f>SUM(I19:I29)</f>
        <v>5375000</v>
      </c>
      <c r="J30" s="83">
        <f>SUM(J19:J29)</f>
        <v>100</v>
      </c>
      <c r="K30" s="84"/>
      <c r="L30" s="82">
        <f>SUM(L19:L29)</f>
        <v>10900000</v>
      </c>
      <c r="M30" s="82">
        <f>SUM(M19:M29)</f>
        <v>16275000</v>
      </c>
      <c r="N30" s="82">
        <f>SUM(N19:N29)</f>
        <v>32300000</v>
      </c>
    </row>
    <row r="31" spans="1:14" s="95" customFormat="1" ht="27.75" customHeight="1" thickBot="1">
      <c r="A31" s="203" t="s">
        <v>63</v>
      </c>
      <c r="B31" s="204"/>
      <c r="C31" s="204"/>
      <c r="D31" s="204"/>
      <c r="E31" s="204"/>
      <c r="F31" s="204"/>
      <c r="G31" s="204"/>
      <c r="H31" s="204"/>
      <c r="I31" s="204"/>
      <c r="J31" s="204"/>
      <c r="K31" s="204"/>
      <c r="L31" s="204"/>
      <c r="M31" s="204"/>
      <c r="N31" s="205"/>
    </row>
    <row r="32" spans="1:14" ht="47.25" customHeight="1">
      <c r="A32" s="103"/>
      <c r="B32" s="104" t="s">
        <v>73</v>
      </c>
      <c r="C32" s="49" t="s">
        <v>74</v>
      </c>
      <c r="D32" s="52">
        <v>1800000</v>
      </c>
      <c r="E32" s="52">
        <v>0</v>
      </c>
      <c r="F32" s="52">
        <v>0</v>
      </c>
      <c r="G32" s="52">
        <f>E32*F32</f>
        <v>0</v>
      </c>
      <c r="H32" s="79">
        <f>SUM(D32,G32)</f>
        <v>1800000</v>
      </c>
      <c r="I32" s="52">
        <v>900000</v>
      </c>
      <c r="J32" s="52">
        <v>0</v>
      </c>
      <c r="K32" s="52">
        <v>0</v>
      </c>
      <c r="L32" s="52">
        <f>J32*K32</f>
        <v>0</v>
      </c>
      <c r="M32" s="79">
        <f>SUM(I32,L32)</f>
        <v>900000</v>
      </c>
      <c r="N32" s="92">
        <f>SUM(M32,H32)</f>
        <v>2700000</v>
      </c>
    </row>
    <row r="33" spans="1:18" ht="47.25" customHeight="1">
      <c r="A33" s="103"/>
      <c r="B33" s="104" t="s">
        <v>69</v>
      </c>
      <c r="C33" s="49" t="s">
        <v>75</v>
      </c>
      <c r="D33" s="52">
        <v>0</v>
      </c>
      <c r="E33" s="52">
        <f>Q33</f>
        <v>14</v>
      </c>
      <c r="F33" s="52">
        <v>150000</v>
      </c>
      <c r="G33" s="52">
        <f>E33*F33</f>
        <v>2100000</v>
      </c>
      <c r="H33" s="79">
        <f>SUM(D33,G33)</f>
        <v>2100000</v>
      </c>
      <c r="I33" s="52">
        <v>0</v>
      </c>
      <c r="J33" s="52">
        <f>R33</f>
        <v>14</v>
      </c>
      <c r="K33" s="52">
        <v>150000</v>
      </c>
      <c r="L33" s="52">
        <f>J33*K33</f>
        <v>2100000</v>
      </c>
      <c r="M33" s="79">
        <f>SUM(I33,L33)</f>
        <v>2100000</v>
      </c>
      <c r="N33" s="92">
        <f>SUM(M33,H33)</f>
        <v>4200000</v>
      </c>
      <c r="Q33">
        <v>14</v>
      </c>
      <c r="R33">
        <v>14</v>
      </c>
    </row>
    <row r="34" spans="1:14" ht="47.25" customHeight="1">
      <c r="A34" s="103"/>
      <c r="B34" s="104" t="s">
        <v>61</v>
      </c>
      <c r="C34" s="49" t="s">
        <v>76</v>
      </c>
      <c r="D34" s="52">
        <v>600000</v>
      </c>
      <c r="E34" s="52">
        <v>0</v>
      </c>
      <c r="F34" s="52">
        <v>0</v>
      </c>
      <c r="G34" s="52">
        <f>E34*F34</f>
        <v>0</v>
      </c>
      <c r="H34" s="79">
        <f>SUM(D34,G34)</f>
        <v>600000</v>
      </c>
      <c r="I34" s="52">
        <v>300000</v>
      </c>
      <c r="J34" s="52">
        <v>0</v>
      </c>
      <c r="K34" s="52">
        <v>0</v>
      </c>
      <c r="L34" s="52">
        <f>J34*K34</f>
        <v>0</v>
      </c>
      <c r="M34" s="79">
        <f>SUM(I34,L34)</f>
        <v>300000</v>
      </c>
      <c r="N34" s="92">
        <f>SUM(M34,H34)</f>
        <v>900000</v>
      </c>
    </row>
    <row r="35" spans="1:14" ht="47.25" customHeight="1" thickBot="1">
      <c r="A35" s="103"/>
      <c r="B35" s="104" t="s">
        <v>62</v>
      </c>
      <c r="C35" s="49" t="s">
        <v>77</v>
      </c>
      <c r="D35" s="52">
        <v>500000</v>
      </c>
      <c r="E35" s="52">
        <v>0</v>
      </c>
      <c r="F35" s="52">
        <v>0</v>
      </c>
      <c r="G35" s="52">
        <f>E35*F35</f>
        <v>0</v>
      </c>
      <c r="H35" s="79">
        <f>SUM(D35,G35)</f>
        <v>500000</v>
      </c>
      <c r="I35" s="52">
        <v>500000</v>
      </c>
      <c r="J35" s="52">
        <v>0</v>
      </c>
      <c r="K35" s="52">
        <v>0</v>
      </c>
      <c r="L35" s="52">
        <f>J35*K35</f>
        <v>0</v>
      </c>
      <c r="M35" s="79">
        <f>SUM(I35,L35)</f>
        <v>500000</v>
      </c>
      <c r="N35" s="92">
        <f>SUM(M35,H35)</f>
        <v>1000000</v>
      </c>
    </row>
    <row r="36" spans="1:14" ht="15.75" thickBot="1">
      <c r="A36" s="101"/>
      <c r="B36" s="81" t="s">
        <v>94</v>
      </c>
      <c r="C36" s="82"/>
      <c r="D36" s="82">
        <f>SUM(D32:D35)</f>
        <v>2900000</v>
      </c>
      <c r="E36" s="83">
        <f>SUM(E32:E35)</f>
        <v>14</v>
      </c>
      <c r="F36" s="84"/>
      <c r="G36" s="82">
        <f>SUM(G32:G35)</f>
        <v>2100000</v>
      </c>
      <c r="H36" s="82">
        <f>SUM(H32:H35)</f>
        <v>5000000</v>
      </c>
      <c r="I36" s="82">
        <f>SUM(I32:I35)</f>
        <v>1700000</v>
      </c>
      <c r="J36" s="83">
        <f>SUM(J32:J35)</f>
        <v>14</v>
      </c>
      <c r="K36" s="84"/>
      <c r="L36" s="82">
        <f>SUM(L32:L35)</f>
        <v>2100000</v>
      </c>
      <c r="M36" s="82">
        <f>SUM(M32:M35)</f>
        <v>3800000</v>
      </c>
      <c r="N36" s="82">
        <f>SUM(N32:N35)</f>
        <v>8800000</v>
      </c>
    </row>
    <row r="37" spans="1:14" s="96" customFormat="1" ht="15.75" thickBot="1">
      <c r="A37" s="105"/>
      <c r="B37" s="106"/>
      <c r="C37" s="106"/>
      <c r="D37" s="106"/>
      <c r="E37" s="107"/>
      <c r="F37" s="106"/>
      <c r="G37" s="106"/>
      <c r="H37" s="106"/>
      <c r="I37" s="108"/>
      <c r="J37" s="107"/>
      <c r="K37" s="106"/>
      <c r="L37" s="106"/>
      <c r="M37" s="106"/>
      <c r="N37" s="109"/>
    </row>
    <row r="38" spans="1:14" ht="20.25" customHeight="1" thickBot="1">
      <c r="A38" s="89"/>
      <c r="B38" s="111" t="s">
        <v>3</v>
      </c>
      <c r="C38" s="85"/>
      <c r="D38" s="86">
        <f>SUM(D17,D30,D36)</f>
        <v>13125000</v>
      </c>
      <c r="E38" s="87">
        <f>SUM(E17,E30,E36)</f>
        <v>658</v>
      </c>
      <c r="F38" s="88"/>
      <c r="G38" s="86">
        <f>SUM(G17,G30,G36)</f>
        <v>31475000</v>
      </c>
      <c r="H38" s="86">
        <f>SUM(H17,H30,H36)</f>
        <v>44600000</v>
      </c>
      <c r="I38" s="86">
        <f>SUM(I17,I30,I36)</f>
        <v>7425000</v>
      </c>
      <c r="J38" s="87">
        <f>SUM(J17,J30,J36)</f>
        <v>2234</v>
      </c>
      <c r="K38" s="88"/>
      <c r="L38" s="86">
        <f>SUM(L17,L30,L36)</f>
        <v>81200000</v>
      </c>
      <c r="M38" s="86">
        <f>SUM(M17,M30,M36)</f>
        <v>88625000</v>
      </c>
      <c r="N38" s="86">
        <f>SUM(N17,N30,N36)</f>
        <v>133225000</v>
      </c>
    </row>
    <row r="39" spans="2:14" ht="21" customHeight="1" thickBot="1">
      <c r="B39" s="1"/>
      <c r="C39" s="1"/>
      <c r="D39" s="1"/>
      <c r="E39" s="3"/>
      <c r="F39" s="1"/>
      <c r="G39" s="1"/>
      <c r="H39" s="1"/>
      <c r="I39" s="1"/>
      <c r="J39" s="3"/>
      <c r="K39" s="5" t="s">
        <v>3</v>
      </c>
      <c r="L39" s="6"/>
      <c r="M39" s="4"/>
      <c r="N39" s="26">
        <f>N38</f>
        <v>133225000</v>
      </c>
    </row>
    <row r="40" ht="16.5">
      <c r="N40" s="94"/>
    </row>
  </sheetData>
  <sheetProtection/>
  <mergeCells count="19">
    <mergeCell ref="A31:N31"/>
    <mergeCell ref="A18:N18"/>
    <mergeCell ref="A2:A4"/>
    <mergeCell ref="D2:H2"/>
    <mergeCell ref="I2:M2"/>
    <mergeCell ref="B2:B4"/>
    <mergeCell ref="C2:C4"/>
    <mergeCell ref="A5:N5"/>
    <mergeCell ref="D3:D4"/>
    <mergeCell ref="I3:I4"/>
    <mergeCell ref="E3:E4"/>
    <mergeCell ref="F3:F4"/>
    <mergeCell ref="G3:G4"/>
    <mergeCell ref="J3:J4"/>
    <mergeCell ref="L3:L4"/>
    <mergeCell ref="N2:N4"/>
    <mergeCell ref="H3:H4"/>
    <mergeCell ref="M3:M4"/>
    <mergeCell ref="K3:K4"/>
  </mergeCells>
  <printOptions horizontalCentered="1"/>
  <pageMargins left="0.2362204724409449" right="0.2755905511811024" top="0.984251968503937" bottom="0.4330708661417323" header="0.5511811023622047" footer="0.2755905511811024"/>
  <pageSetup fitToHeight="0" horizontalDpi="600" verticalDpi="600" orientation="landscape" paperSize="9" scale="64" r:id="rId1"/>
  <headerFooter alignWithMargins="0">
    <oddHeader>&amp;L&amp;"Trebuchet MS,Regular"&amp;13ANNEX VII: INDICATIVE BUDGET OF THE PROGRAMME
&amp;A</oddHeader>
    <oddFooter>&amp;LDraft Programme on Industrial Upgrading and Modernization in SADC Countries&amp;R&amp;P/&amp;N</oddFooter>
  </headerFooter>
  <rowBreaks count="2" manualBreakCount="2">
    <brk id="17" max="13" man="1"/>
    <brk id="3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FarNod Alimdjanov</dc:creator>
  <cp:keywords/>
  <dc:description/>
  <cp:lastModifiedBy>UNIDO</cp:lastModifiedBy>
  <cp:lastPrinted>2009-03-09T11:41:23Z</cp:lastPrinted>
  <dcterms:created xsi:type="dcterms:W3CDTF">2007-07-29T14:55:54Z</dcterms:created>
  <dcterms:modified xsi:type="dcterms:W3CDTF">2009-03-09T13:16:55Z</dcterms:modified>
  <cp:category/>
  <cp:version/>
  <cp:contentType/>
  <cp:contentStatus/>
</cp:coreProperties>
</file>